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esktop\caixa blaquaer\"/>
    </mc:Choice>
  </mc:AlternateContent>
  <xr:revisionPtr revIDLastSave="0" documentId="13_ncr:1_{C97DAF89-87E0-4206-9EB4-5B275926F75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QUADRO DE RESUMO" sheetId="17" r:id="rId1"/>
    <sheet name="PLANILHA ORÇAMENTÁRIA" sheetId="2" r:id="rId2"/>
    <sheet name="COMP.CUST" sheetId="15" r:id="rId3"/>
    <sheet name="MEM. DE CALCULO" sheetId="13" state="hidden" r:id="rId4"/>
    <sheet name="CRON. FIS. FINAN." sheetId="11" state="hidden" r:id="rId5"/>
    <sheet name="Planilha1" sheetId="14" state="hidden" r:id="rId6"/>
    <sheet name="COMP. CUSTOS" sheetId="6" state="hidden" r:id="rId7"/>
    <sheet name="BDI" sheetId="8" state="hidden" r:id="rId8"/>
    <sheet name="ENCARGOS" sheetId="9" r:id="rId9"/>
    <sheet name="Hoja1" sheetId="12" state="hidden" r:id="rId10"/>
    <sheet name="CURVA ABC" sheetId="1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7">BDI!$B$5:$E$60</definedName>
    <definedName name="_xlnm.Print_Area" localSheetId="2">'COMP.CUST'!$C$3:$Q$447</definedName>
    <definedName name="_xlnm.Print_Area" localSheetId="4">'CRON. FIS. FINAN.'!$B$4:$S$60</definedName>
    <definedName name="_xlnm.Print_Area" localSheetId="10">'CURVA ABC'!$C$2:$K$54</definedName>
    <definedName name="_xlnm.Print_Area" localSheetId="8">ENCARGOS!$B$6:$E$57</definedName>
    <definedName name="_xlnm.Print_Area" localSheetId="3">'MEM. DE CALCULO'!$C$2:$I$158</definedName>
    <definedName name="_xlnm.Print_Area" localSheetId="1">'PLANILHA ORÇAMENTÁRIA'!$B$6:$L$87</definedName>
    <definedName name="_xlnm.Print_Area" localSheetId="5">Planilha1!$C$5:$M$304</definedName>
    <definedName name="_xlnm.Print_Area" localSheetId="0">'QUADRO DE RESUMO'!$B$4:$H$23</definedName>
    <definedName name="_xlnm.Print_Titles" localSheetId="2">'COMP.CUST'!$3:$11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6" l="1"/>
  <c r="C46" i="2"/>
  <c r="C16" i="17"/>
  <c r="P75" i="15"/>
  <c r="Q26" i="15"/>
  <c r="L45" i="15"/>
  <c r="P40" i="15"/>
  <c r="L40" i="15"/>
  <c r="L121" i="15"/>
  <c r="O75" i="15" l="1"/>
  <c r="P121" i="15"/>
  <c r="P97" i="15" l="1"/>
  <c r="Q167" i="15"/>
  <c r="Q166" i="15"/>
  <c r="Q165" i="15"/>
  <c r="Q160" i="15"/>
  <c r="Q162" i="15" s="1"/>
  <c r="Q152" i="15"/>
  <c r="Q153" i="15" s="1"/>
  <c r="Q154" i="15" s="1"/>
  <c r="Q149" i="15"/>
  <c r="Q150" i="15" s="1"/>
  <c r="Q148" i="15"/>
  <c r="Q340" i="15"/>
  <c r="Q341" i="15"/>
  <c r="Q401" i="15"/>
  <c r="Q402" i="15"/>
  <c r="Q392" i="15"/>
  <c r="Q391" i="15"/>
  <c r="Q382" i="15"/>
  <c r="Q381" i="15"/>
  <c r="Q372" i="15"/>
  <c r="Q371" i="15"/>
  <c r="Q361" i="15"/>
  <c r="Q362" i="15"/>
  <c r="Q352" i="15"/>
  <c r="Q351" i="15"/>
  <c r="Q330" i="15"/>
  <c r="Q329" i="15"/>
  <c r="Q328" i="15"/>
  <c r="Q323" i="15"/>
  <c r="Q325" i="15" s="1"/>
  <c r="Q315" i="15"/>
  <c r="Q316" i="15" s="1"/>
  <c r="Q317" i="15" s="1"/>
  <c r="Q312" i="15"/>
  <c r="Q313" i="15" s="1"/>
  <c r="Q311" i="15"/>
  <c r="Q303" i="15"/>
  <c r="Q302" i="15"/>
  <c r="Q301" i="15"/>
  <c r="Q296" i="15"/>
  <c r="Q298" i="15" s="1"/>
  <c r="Q288" i="15"/>
  <c r="Q289" i="15" s="1"/>
  <c r="Q285" i="15"/>
  <c r="Q286" i="15" s="1"/>
  <c r="Q284" i="15"/>
  <c r="Q276" i="15"/>
  <c r="Q275" i="15"/>
  <c r="Q274" i="15"/>
  <c r="Q269" i="15"/>
  <c r="Q271" i="15" s="1"/>
  <c r="Q261" i="15"/>
  <c r="Q262" i="15" s="1"/>
  <c r="Q258" i="15"/>
  <c r="Q259" i="15" s="1"/>
  <c r="Q257" i="15"/>
  <c r="Q249" i="15"/>
  <c r="Q248" i="15"/>
  <c r="Q247" i="15"/>
  <c r="Q242" i="15"/>
  <c r="Q244" i="15" s="1"/>
  <c r="Q234" i="15"/>
  <c r="Q235" i="15" s="1"/>
  <c r="Q231" i="15"/>
  <c r="Q232" i="15" s="1"/>
  <c r="Q230" i="15"/>
  <c r="Q222" i="15"/>
  <c r="Q221" i="15"/>
  <c r="Q220" i="15"/>
  <c r="Q215" i="15"/>
  <c r="Q217" i="15" s="1"/>
  <c r="Q207" i="15"/>
  <c r="Q208" i="15" s="1"/>
  <c r="Q204" i="15"/>
  <c r="Q205" i="15" s="1"/>
  <c r="Q203" i="15"/>
  <c r="Q195" i="15"/>
  <c r="Q194" i="15"/>
  <c r="Q193" i="15"/>
  <c r="Q188" i="15"/>
  <c r="Q190" i="15" s="1"/>
  <c r="Q180" i="15"/>
  <c r="Q181" i="15" s="1"/>
  <c r="Q177" i="15"/>
  <c r="Q178" i="15" s="1"/>
  <c r="Q176" i="15"/>
  <c r="Q155" i="15" l="1"/>
  <c r="Q156" i="15" s="1"/>
  <c r="Q158" i="15" s="1"/>
  <c r="Q168" i="15"/>
  <c r="Q342" i="15"/>
  <c r="Q344" i="15" s="1"/>
  <c r="I64" i="2" s="1"/>
  <c r="Q403" i="15"/>
  <c r="Q405" i="15" s="1"/>
  <c r="I70" i="2" s="1"/>
  <c r="J70" i="2" s="1"/>
  <c r="Q393" i="15"/>
  <c r="Q395" i="15" s="1"/>
  <c r="Q383" i="15"/>
  <c r="Q385" i="15" s="1"/>
  <c r="Q373" i="15"/>
  <c r="Q375" i="15" s="1"/>
  <c r="Q363" i="15"/>
  <c r="Q365" i="15" s="1"/>
  <c r="Q353" i="15"/>
  <c r="Q355" i="15" s="1"/>
  <c r="Q318" i="15"/>
  <c r="Q331" i="15"/>
  <c r="Q304" i="15"/>
  <c r="Q290" i="15"/>
  <c r="Q291" i="15" s="1"/>
  <c r="Q277" i="15"/>
  <c r="Q263" i="15"/>
  <c r="Q264" i="15" s="1"/>
  <c r="Q250" i="15"/>
  <c r="Q236" i="15"/>
  <c r="Q237" i="15" s="1"/>
  <c r="Q223" i="15"/>
  <c r="Q209" i="15"/>
  <c r="Q210" i="15" s="1"/>
  <c r="Q196" i="15"/>
  <c r="Q182" i="15"/>
  <c r="Q183" i="15" s="1"/>
  <c r="Q170" i="15" l="1"/>
  <c r="I57" i="2" s="1"/>
  <c r="Q319" i="15"/>
  <c r="Q321" i="15" s="1"/>
  <c r="Q333" i="15" s="1"/>
  <c r="I63" i="2" s="1"/>
  <c r="J63" i="2" s="1"/>
  <c r="Q345" i="15"/>
  <c r="P346" i="15" s="1"/>
  <c r="Q406" i="15"/>
  <c r="P407" i="15" s="1"/>
  <c r="Q396" i="15"/>
  <c r="P397" i="15" s="1"/>
  <c r="Q386" i="15"/>
  <c r="P387" i="15" s="1"/>
  <c r="Q376" i="15"/>
  <c r="P377" i="15" s="1"/>
  <c r="Q366" i="15"/>
  <c r="P367" i="15" s="1"/>
  <c r="Q356" i="15"/>
  <c r="P357" i="15" s="1"/>
  <c r="Q292" i="15"/>
  <c r="Q294" i="15" s="1"/>
  <c r="Q306" i="15" s="1"/>
  <c r="Q265" i="15"/>
  <c r="Q267" i="15" s="1"/>
  <c r="Q279" i="15" s="1"/>
  <c r="Q238" i="15"/>
  <c r="Q240" i="15" s="1"/>
  <c r="Q252" i="15" s="1"/>
  <c r="Q184" i="15"/>
  <c r="Q186" i="15" s="1"/>
  <c r="Q198" i="15" s="1"/>
  <c r="Q211" i="15"/>
  <c r="Q213" i="15" s="1"/>
  <c r="Q225" i="15" s="1"/>
  <c r="Q171" i="15" l="1"/>
  <c r="P172" i="15" s="1"/>
  <c r="Q334" i="15"/>
  <c r="P335" i="15" s="1"/>
  <c r="Q307" i="15"/>
  <c r="P308" i="15" s="1"/>
  <c r="Q280" i="15"/>
  <c r="P281" i="15" s="1"/>
  <c r="Q253" i="15"/>
  <c r="P254" i="15" s="1"/>
  <c r="Q226" i="15"/>
  <c r="P227" i="15" s="1"/>
  <c r="Q199" i="15"/>
  <c r="P200" i="15" s="1"/>
  <c r="E52" i="2" l="1"/>
  <c r="Q102" i="15" l="1"/>
  <c r="Q103" i="15" s="1"/>
  <c r="Q104" i="15" s="1"/>
  <c r="Q98" i="15"/>
  <c r="Q97" i="15"/>
  <c r="D94" i="15"/>
  <c r="Q84" i="15"/>
  <c r="Q85" i="15" s="1"/>
  <c r="Q100" i="15" l="1"/>
  <c r="Q105" i="15" s="1"/>
  <c r="Q106" i="15" s="1"/>
  <c r="Q108" i="15" s="1"/>
  <c r="Q87" i="15"/>
  <c r="Q86" i="15"/>
  <c r="Q88" i="15" l="1"/>
  <c r="Q90" i="15" s="1"/>
  <c r="Q109" i="15"/>
  <c r="P110" i="15" s="1"/>
  <c r="J53" i="2"/>
  <c r="Q91" i="15" l="1"/>
  <c r="P92" i="15" s="1"/>
  <c r="H53" i="2"/>
  <c r="D35" i="2" l="1"/>
  <c r="I34" i="2"/>
  <c r="I33" i="2"/>
  <c r="I32" i="2"/>
  <c r="C32" i="2"/>
  <c r="I31" i="2"/>
  <c r="C31" i="2"/>
  <c r="I30" i="2"/>
  <c r="C30" i="2"/>
  <c r="I29" i="2"/>
  <c r="C29" i="2"/>
  <c r="I28" i="2"/>
  <c r="C28" i="2"/>
  <c r="I27" i="2"/>
  <c r="C27" i="2"/>
  <c r="O56" i="15"/>
  <c r="L56" i="15"/>
  <c r="O136" i="15"/>
  <c r="Q56" i="15" l="1"/>
  <c r="I35" i="2"/>
  <c r="C20" i="17"/>
  <c r="F48" i="16"/>
  <c r="D48" i="16"/>
  <c r="D114" i="15" l="1"/>
  <c r="E68" i="2" l="1"/>
  <c r="E61" i="2"/>
  <c r="E51" i="2" l="1"/>
  <c r="E54" i="2" l="1"/>
  <c r="E53" i="2"/>
  <c r="C70" i="2" l="1"/>
  <c r="D399" i="15" s="1"/>
  <c r="E70" i="2"/>
  <c r="L70" i="2" s="1"/>
  <c r="E69" i="2"/>
  <c r="C69" i="2"/>
  <c r="D389" i="15" s="1"/>
  <c r="C68" i="2"/>
  <c r="D379" i="15" s="1"/>
  <c r="E67" i="2"/>
  <c r="C67" i="2"/>
  <c r="D369" i="15" s="1"/>
  <c r="E66" i="2"/>
  <c r="C66" i="2"/>
  <c r="D359" i="15" s="1"/>
  <c r="E65" i="2"/>
  <c r="C65" i="2"/>
  <c r="D349" i="15" s="1"/>
  <c r="E64" i="2"/>
  <c r="C64" i="2"/>
  <c r="D338" i="15" s="1"/>
  <c r="E63" i="2"/>
  <c r="C63" i="2"/>
  <c r="D310" i="15" s="1"/>
  <c r="E62" i="2"/>
  <c r="C62" i="2"/>
  <c r="D283" i="15" s="1"/>
  <c r="C61" i="2"/>
  <c r="D256" i="15" s="1"/>
  <c r="E60" i="2"/>
  <c r="C60" i="2"/>
  <c r="D229" i="15" s="1"/>
  <c r="E59" i="2"/>
  <c r="C59" i="2"/>
  <c r="D202" i="15" s="1"/>
  <c r="E58" i="2"/>
  <c r="E57" i="2"/>
  <c r="C58" i="2"/>
  <c r="D175" i="15" s="1"/>
  <c r="C57" i="2"/>
  <c r="D147" i="15" s="1"/>
  <c r="D40" i="16"/>
  <c r="E18" i="2"/>
  <c r="E17" i="2"/>
  <c r="E16" i="2"/>
  <c r="D52" i="9"/>
  <c r="D57" i="9"/>
  <c r="E56" i="9"/>
  <c r="D56" i="9"/>
  <c r="E52" i="9"/>
  <c r="E45" i="9"/>
  <c r="D45" i="9"/>
  <c r="E33" i="9"/>
  <c r="D33" i="9"/>
  <c r="E57" i="9" l="1"/>
  <c r="L136" i="15"/>
  <c r="L135" i="15"/>
  <c r="Q135" i="15" s="1"/>
  <c r="L134" i="15"/>
  <c r="Q134" i="15" s="1"/>
  <c r="L130" i="15"/>
  <c r="L129" i="15"/>
  <c r="L128" i="15"/>
  <c r="L127" i="15"/>
  <c r="L126" i="15"/>
  <c r="L125" i="15"/>
  <c r="M121" i="15"/>
  <c r="L50" i="15"/>
  <c r="M40" i="15" l="1"/>
  <c r="Q136" i="15"/>
  <c r="Q137" i="15" s="1"/>
  <c r="O128" i="15" l="1"/>
  <c r="O125" i="15"/>
  <c r="O126" i="15"/>
  <c r="O129" i="15"/>
  <c r="O130" i="15"/>
  <c r="O127" i="15"/>
  <c r="E74" i="2"/>
  <c r="Q437" i="15"/>
  <c r="Q436" i="15"/>
  <c r="E73" i="2"/>
  <c r="Q420" i="15"/>
  <c r="Q421" i="15"/>
  <c r="F442" i="15" l="1"/>
  <c r="K442" i="15" s="1"/>
  <c r="I74" i="2" s="1"/>
  <c r="H68" i="2"/>
  <c r="K14" i="16" l="1"/>
  <c r="K13" i="16"/>
  <c r="C18" i="17"/>
  <c r="C14" i="17"/>
  <c r="C12" i="17"/>
  <c r="C9" i="9"/>
  <c r="C8" i="9"/>
  <c r="C6" i="9"/>
  <c r="B16" i="9"/>
  <c r="B17" i="9"/>
  <c r="B18" i="9"/>
  <c r="B15" i="9"/>
  <c r="F40" i="16"/>
  <c r="F33" i="16"/>
  <c r="F42" i="16" l="1"/>
  <c r="Q419" i="15" l="1"/>
  <c r="D430" i="15"/>
  <c r="J433" i="15"/>
  <c r="Q424" i="15"/>
  <c r="Q423" i="15"/>
  <c r="Q422" i="15"/>
  <c r="D413" i="15"/>
  <c r="P414" i="15"/>
  <c r="F428" i="15" l="1"/>
  <c r="K428" i="15" s="1"/>
  <c r="I73" i="2" s="1"/>
  <c r="J74" i="2" l="1"/>
  <c r="K74" i="2"/>
  <c r="L74" i="2" l="1"/>
  <c r="G42" i="16"/>
  <c r="H42" i="16" s="1"/>
  <c r="Q75" i="15" l="1"/>
  <c r="I79" i="15" s="1"/>
  <c r="Q73" i="15"/>
  <c r="D13" i="15"/>
  <c r="L55" i="15"/>
  <c r="Q55" i="15" s="1"/>
  <c r="L54" i="15"/>
  <c r="Q54" i="15" s="1"/>
  <c r="L46" i="15"/>
  <c r="L47" i="15"/>
  <c r="L48" i="15"/>
  <c r="L49" i="15"/>
  <c r="Q72" i="15"/>
  <c r="Q71" i="15"/>
  <c r="Q25" i="15"/>
  <c r="Q24" i="15"/>
  <c r="Q23" i="15"/>
  <c r="Q21" i="15"/>
  <c r="Q20" i="15"/>
  <c r="J73" i="2"/>
  <c r="H73" i="2"/>
  <c r="F49" i="16"/>
  <c r="K45" i="15" l="1"/>
  <c r="K125" i="15"/>
  <c r="Q125" i="15" s="1"/>
  <c r="F79" i="15"/>
  <c r="K79" i="15" s="1"/>
  <c r="I48" i="2" s="1"/>
  <c r="G40" i="16"/>
  <c r="H40" i="16" s="1"/>
  <c r="L73" i="2"/>
  <c r="L72" i="2" s="1"/>
  <c r="K130" i="15"/>
  <c r="Q130" i="15" s="1"/>
  <c r="K126" i="15"/>
  <c r="Q126" i="15" s="1"/>
  <c r="K129" i="15"/>
  <c r="Q129" i="15" s="1"/>
  <c r="K127" i="15"/>
  <c r="Q127" i="15" s="1"/>
  <c r="K128" i="15"/>
  <c r="Q128" i="15" s="1"/>
  <c r="Q57" i="15"/>
  <c r="H30" i="15"/>
  <c r="O46" i="15"/>
  <c r="O49" i="15"/>
  <c r="O50" i="15"/>
  <c r="O47" i="15"/>
  <c r="O45" i="15"/>
  <c r="O48" i="15"/>
  <c r="K47" i="15"/>
  <c r="K50" i="15"/>
  <c r="K49" i="15"/>
  <c r="K46" i="15"/>
  <c r="J30" i="15"/>
  <c r="K48" i="15"/>
  <c r="K73" i="2"/>
  <c r="Q132" i="15" l="1"/>
  <c r="Q138" i="15" s="1"/>
  <c r="I77" i="2" s="1"/>
  <c r="Q48" i="15"/>
  <c r="Q45" i="15"/>
  <c r="Q49" i="15"/>
  <c r="Q47" i="15"/>
  <c r="N30" i="15"/>
  <c r="I46" i="2" s="1"/>
  <c r="G18" i="17"/>
  <c r="Q46" i="15"/>
  <c r="Q50" i="15"/>
  <c r="J46" i="2" l="1"/>
  <c r="G51" i="16" s="1"/>
  <c r="H77" i="2"/>
  <c r="J77" i="2"/>
  <c r="Q52" i="15"/>
  <c r="Q58" i="15" s="1"/>
  <c r="I47" i="2" s="1"/>
  <c r="L77" i="2" l="1"/>
  <c r="L76" i="2" s="1"/>
  <c r="G48" i="16"/>
  <c r="H69" i="2"/>
  <c r="H70" i="2"/>
  <c r="J69" i="2"/>
  <c r="G43" i="16" s="1"/>
  <c r="G34" i="16"/>
  <c r="H64" i="2"/>
  <c r="H65" i="2"/>
  <c r="H66" i="2"/>
  <c r="H67" i="2"/>
  <c r="J64" i="2"/>
  <c r="G35" i="16" s="1"/>
  <c r="J65" i="2"/>
  <c r="G38" i="16" s="1"/>
  <c r="J66" i="2"/>
  <c r="G44" i="16" s="1"/>
  <c r="J67" i="2"/>
  <c r="G45" i="16" s="1"/>
  <c r="D34" i="16"/>
  <c r="D43" i="16"/>
  <c r="D45" i="16"/>
  <c r="D44" i="16"/>
  <c r="D38" i="16"/>
  <c r="D35" i="16"/>
  <c r="D37" i="16"/>
  <c r="D47" i="16"/>
  <c r="D50" i="16"/>
  <c r="D46" i="16"/>
  <c r="D39" i="16"/>
  <c r="D36" i="16"/>
  <c r="J52" i="2"/>
  <c r="G31" i="16" s="1"/>
  <c r="H52" i="2"/>
  <c r="C52" i="2"/>
  <c r="F35" i="16"/>
  <c r="F37" i="16"/>
  <c r="F47" i="16"/>
  <c r="F50" i="16"/>
  <c r="F46" i="16"/>
  <c r="F39" i="16"/>
  <c r="F36" i="16"/>
  <c r="E11" i="8"/>
  <c r="D11" i="8"/>
  <c r="E27" i="8"/>
  <c r="C16" i="8"/>
  <c r="C15" i="8"/>
  <c r="C11" i="8"/>
  <c r="L11" i="14"/>
  <c r="K13" i="11"/>
  <c r="J13" i="11"/>
  <c r="H13" i="11"/>
  <c r="U30" i="11"/>
  <c r="E43" i="11"/>
  <c r="E41" i="11"/>
  <c r="E39" i="11"/>
  <c r="E37" i="11"/>
  <c r="E35" i="11"/>
  <c r="E33" i="11"/>
  <c r="E31" i="11"/>
  <c r="E29" i="11"/>
  <c r="E27" i="11"/>
  <c r="F27" i="11"/>
  <c r="F29" i="11"/>
  <c r="F31" i="11"/>
  <c r="F33" i="11"/>
  <c r="F35" i="11"/>
  <c r="E25" i="11"/>
  <c r="D31" i="16" l="1"/>
  <c r="D81" i="15"/>
  <c r="G20" i="17"/>
  <c r="H35" i="16"/>
  <c r="K66" i="2"/>
  <c r="F44" i="16"/>
  <c r="H44" i="16" s="1"/>
  <c r="K67" i="2"/>
  <c r="F45" i="16"/>
  <c r="H45" i="16" s="1"/>
  <c r="K70" i="2"/>
  <c r="F34" i="16"/>
  <c r="H34" i="16" s="1"/>
  <c r="K69" i="2"/>
  <c r="F43" i="16"/>
  <c r="H43" i="16" s="1"/>
  <c r="K65" i="2"/>
  <c r="F38" i="16"/>
  <c r="H38" i="16" s="1"/>
  <c r="C17" i="8"/>
  <c r="K64" i="2"/>
  <c r="L69" i="2"/>
  <c r="L67" i="2"/>
  <c r="L66" i="2"/>
  <c r="L65" i="2"/>
  <c r="L64" i="2"/>
  <c r="H9" i="11" l="1"/>
  <c r="C8" i="8" s="1"/>
  <c r="H7" i="11"/>
  <c r="C7" i="8" s="1"/>
  <c r="H4" i="11"/>
  <c r="C5" i="8" s="1"/>
  <c r="S13" i="11"/>
  <c r="S14" i="11"/>
  <c r="S12" i="11"/>
  <c r="E15" i="8" s="1"/>
  <c r="M13" i="11"/>
  <c r="M14" i="11"/>
  <c r="M12" i="11"/>
  <c r="M10" i="11"/>
  <c r="B23" i="8" s="1"/>
  <c r="M9" i="11"/>
  <c r="B22" i="8" s="1"/>
  <c r="M8" i="11"/>
  <c r="B21" i="8" s="1"/>
  <c r="M4" i="11"/>
  <c r="B20" i="8" s="1"/>
  <c r="P45" i="11"/>
  <c r="F43" i="11"/>
  <c r="F41" i="11"/>
  <c r="F39" i="11"/>
  <c r="F37" i="11"/>
  <c r="F25" i="11"/>
  <c r="E16" i="8" l="1"/>
  <c r="E17" i="8"/>
  <c r="G24" i="13"/>
  <c r="I23" i="13"/>
  <c r="I22" i="13"/>
  <c r="I21" i="13"/>
  <c r="C16" i="13"/>
  <c r="C15" i="13"/>
  <c r="I24" i="13" l="1"/>
  <c r="P31" i="11"/>
  <c r="P35" i="11"/>
  <c r="P29" i="11"/>
  <c r="P33" i="11"/>
  <c r="P25" i="11"/>
  <c r="P27" i="11"/>
  <c r="E6" i="13" l="1"/>
  <c r="G27" i="11"/>
  <c r="G28" i="11" s="1"/>
  <c r="G33" i="11"/>
  <c r="G34" i="11" s="1"/>
  <c r="G35" i="11"/>
  <c r="G36" i="11" s="1"/>
  <c r="Q25" i="11"/>
  <c r="G25" i="11"/>
  <c r="G26" i="11" s="1"/>
  <c r="G29" i="11"/>
  <c r="G30" i="11" s="1"/>
  <c r="G31" i="11"/>
  <c r="G32" i="11" s="1"/>
  <c r="H57" i="2"/>
  <c r="H58" i="2"/>
  <c r="H59" i="2"/>
  <c r="H60" i="2"/>
  <c r="H61" i="2"/>
  <c r="H62" i="2"/>
  <c r="H63" i="2"/>
  <c r="H54" i="2"/>
  <c r="H51" i="2"/>
  <c r="K57" i="2"/>
  <c r="K58" i="2"/>
  <c r="K59" i="2"/>
  <c r="K62" i="2"/>
  <c r="K63" i="2"/>
  <c r="J57" i="2"/>
  <c r="G36" i="16" s="1"/>
  <c r="H36" i="16" s="1"/>
  <c r="J58" i="2"/>
  <c r="G39" i="16" s="1"/>
  <c r="H39" i="16" s="1"/>
  <c r="J59" i="2"/>
  <c r="G46" i="16" s="1"/>
  <c r="H46" i="16" s="1"/>
  <c r="J60" i="2"/>
  <c r="G50" i="16" s="1"/>
  <c r="H50" i="16" s="1"/>
  <c r="J61" i="2"/>
  <c r="G32" i="16" s="1"/>
  <c r="J62" i="2"/>
  <c r="G47" i="16" s="1"/>
  <c r="H47" i="16" s="1"/>
  <c r="G37" i="16"/>
  <c r="H37" i="16" s="1"/>
  <c r="J68" i="2"/>
  <c r="G28" i="16"/>
  <c r="J54" i="2"/>
  <c r="G29" i="16" s="1"/>
  <c r="J51" i="2"/>
  <c r="G41" i="16" s="1"/>
  <c r="J48" i="2"/>
  <c r="H48" i="2"/>
  <c r="K48" i="2" s="1"/>
  <c r="G33" i="16" l="1"/>
  <c r="H33" i="16" s="1"/>
  <c r="L48" i="2"/>
  <c r="G30" i="16"/>
  <c r="L68" i="2"/>
  <c r="G12" i="14"/>
  <c r="H14" i="11"/>
  <c r="C12" i="8" s="1"/>
  <c r="M290" i="14" l="1"/>
  <c r="M291" i="14"/>
  <c r="M292" i="14"/>
  <c r="M293" i="14"/>
  <c r="M289" i="14"/>
  <c r="M279" i="14"/>
  <c r="M280" i="14"/>
  <c r="M281" i="14"/>
  <c r="M282" i="14"/>
  <c r="M283" i="14"/>
  <c r="M284" i="14"/>
  <c r="M278" i="14"/>
  <c r="M260" i="14"/>
  <c r="M261" i="14"/>
  <c r="M262" i="14"/>
  <c r="M263" i="14"/>
  <c r="M259" i="14"/>
  <c r="M232" i="14"/>
  <c r="M233" i="14"/>
  <c r="M234" i="14"/>
  <c r="M231" i="14"/>
  <c r="M240" i="14"/>
  <c r="M241" i="14"/>
  <c r="M242" i="14"/>
  <c r="M239" i="14"/>
  <c r="M222" i="14"/>
  <c r="M223" i="14"/>
  <c r="M224" i="14"/>
  <c r="M225" i="14"/>
  <c r="M226" i="14"/>
  <c r="M221" i="14"/>
  <c r="M212" i="14"/>
  <c r="M213" i="14"/>
  <c r="M214" i="14"/>
  <c r="M215" i="14"/>
  <c r="M216" i="14"/>
  <c r="M211" i="14"/>
  <c r="L163" i="14"/>
  <c r="M163" i="14" s="1"/>
  <c r="L162" i="14"/>
  <c r="M162" i="14" s="1"/>
  <c r="L160" i="14"/>
  <c r="M160" i="14" s="1"/>
  <c r="L159" i="14"/>
  <c r="M159" i="14" s="1"/>
  <c r="M166" i="14"/>
  <c r="M167" i="14" s="1"/>
  <c r="M161" i="14"/>
  <c r="M158" i="14"/>
  <c r="M153" i="14"/>
  <c r="M152" i="14"/>
  <c r="M151" i="14"/>
  <c r="M150" i="14"/>
  <c r="M149" i="14"/>
  <c r="M148" i="14"/>
  <c r="M147" i="14"/>
  <c r="M146" i="14"/>
  <c r="M145" i="14"/>
  <c r="M144" i="14"/>
  <c r="M143" i="14"/>
  <c r="M142" i="14"/>
  <c r="M141" i="14"/>
  <c r="M136" i="14"/>
  <c r="M135" i="14"/>
  <c r="M134" i="14"/>
  <c r="M133" i="14"/>
  <c r="M132" i="14"/>
  <c r="M131" i="14"/>
  <c r="M130" i="14"/>
  <c r="M129" i="14"/>
  <c r="L109" i="14"/>
  <c r="M109" i="14" s="1"/>
  <c r="L108" i="14"/>
  <c r="M108" i="14" s="1"/>
  <c r="L107" i="14"/>
  <c r="M107" i="14" s="1"/>
  <c r="L106" i="14"/>
  <c r="M106" i="14" s="1"/>
  <c r="L105" i="14"/>
  <c r="M105" i="14" s="1"/>
  <c r="L104" i="14"/>
  <c r="M104" i="14" s="1"/>
  <c r="M121" i="14"/>
  <c r="M122" i="14" s="1"/>
  <c r="M118" i="14"/>
  <c r="M119" i="14" s="1"/>
  <c r="M112" i="14"/>
  <c r="M113" i="14" s="1"/>
  <c r="M288" i="14" l="1"/>
  <c r="M277" i="14"/>
  <c r="M258" i="14"/>
  <c r="I264" i="14" s="1"/>
  <c r="L264" i="14" s="1"/>
  <c r="M230" i="14"/>
  <c r="M238" i="14"/>
  <c r="M220" i="14"/>
  <c r="M210" i="14"/>
  <c r="M128" i="14"/>
  <c r="I137" i="14" s="1"/>
  <c r="M164" i="14"/>
  <c r="M168" i="14" s="1"/>
  <c r="M169" i="14" s="1"/>
  <c r="M140" i="14"/>
  <c r="M110" i="14"/>
  <c r="M114" i="14" s="1"/>
  <c r="I154" i="14" l="1"/>
  <c r="L154" i="14" s="1"/>
  <c r="I227" i="14"/>
  <c r="L227" i="14" s="1"/>
  <c r="I285" i="14"/>
  <c r="L285" i="14" s="1"/>
  <c r="I217" i="14"/>
  <c r="L217" i="14" s="1"/>
  <c r="I243" i="14"/>
  <c r="L243" i="14" s="1"/>
  <c r="I294" i="14"/>
  <c r="L294" i="14" s="1"/>
  <c r="I235" i="14"/>
  <c r="L235" i="14" s="1"/>
  <c r="L128" i="14"/>
  <c r="L137" i="14"/>
  <c r="M115" i="14"/>
  <c r="M123" i="14" s="1"/>
  <c r="M124" i="14" s="1"/>
  <c r="L125" i="14" s="1"/>
  <c r="L140" i="14"/>
  <c r="M157" i="14" l="1"/>
  <c r="I171" i="14" s="1"/>
  <c r="M102" i="14"/>
  <c r="L102" i="14" s="1"/>
  <c r="L157" i="14" l="1"/>
  <c r="L171" i="14"/>
  <c r="M95" i="14" l="1"/>
  <c r="M96" i="14" s="1"/>
  <c r="L83" i="14"/>
  <c r="M83" i="14" s="1"/>
  <c r="L82" i="14"/>
  <c r="M82" i="14" s="1"/>
  <c r="L81" i="14"/>
  <c r="M81" i="14" s="1"/>
  <c r="L80" i="14"/>
  <c r="M80" i="14" s="1"/>
  <c r="L79" i="14"/>
  <c r="M79" i="14" s="1"/>
  <c r="L78" i="14"/>
  <c r="M78" i="14" s="1"/>
  <c r="M57" i="14"/>
  <c r="M56" i="14" s="1"/>
  <c r="I58" i="14" s="1"/>
  <c r="L58" i="14" s="1"/>
  <c r="G57" i="14"/>
  <c r="M63" i="14"/>
  <c r="M62" i="14"/>
  <c r="M44" i="14"/>
  <c r="M43" i="14"/>
  <c r="M42" i="14"/>
  <c r="M41" i="14"/>
  <c r="M52" i="14"/>
  <c r="M51" i="14" s="1"/>
  <c r="C51" i="14"/>
  <c r="I53" i="14" l="1"/>
  <c r="L53" i="14" s="1"/>
  <c r="M84" i="14"/>
  <c r="M61" i="14"/>
  <c r="M40" i="14"/>
  <c r="L51" i="14"/>
  <c r="I64" i="14" l="1"/>
  <c r="L64" i="14" s="1"/>
  <c r="I46" i="14"/>
  <c r="L46" i="14" s="1"/>
  <c r="L61" i="14"/>
  <c r="L63" i="2" l="1"/>
  <c r="L59" i="2"/>
  <c r="L297" i="14"/>
  <c r="L288" i="14"/>
  <c r="L277" i="14"/>
  <c r="M273" i="14"/>
  <c r="M272" i="14"/>
  <c r="M271" i="14"/>
  <c r="M270" i="14"/>
  <c r="M269" i="14"/>
  <c r="M268" i="14"/>
  <c r="L246" i="14"/>
  <c r="L220" i="14"/>
  <c r="L210" i="14"/>
  <c r="M187" i="14"/>
  <c r="L187" i="14" s="1"/>
  <c r="M183" i="14"/>
  <c r="M182" i="14"/>
  <c r="M92" i="14"/>
  <c r="M86" i="14"/>
  <c r="M36" i="14"/>
  <c r="M35" i="14"/>
  <c r="M34" i="14"/>
  <c r="M33" i="14"/>
  <c r="M32" i="14"/>
  <c r="M31" i="14"/>
  <c r="M30" i="14"/>
  <c r="L62" i="2"/>
  <c r="L58" i="2"/>
  <c r="J47" i="2" l="1"/>
  <c r="G49" i="16" s="1"/>
  <c r="H49" i="16" s="1"/>
  <c r="H47" i="2"/>
  <c r="M267" i="14"/>
  <c r="I274" i="14" s="1"/>
  <c r="M181" i="14"/>
  <c r="I184" i="14" s="1"/>
  <c r="L184" i="14" s="1"/>
  <c r="M87" i="14"/>
  <c r="M88" i="14" s="1"/>
  <c r="M89" i="14" s="1"/>
  <c r="M93" i="14"/>
  <c r="M29" i="14"/>
  <c r="I37" i="14" s="1"/>
  <c r="K47" i="2" l="1"/>
  <c r="K77" i="2"/>
  <c r="K76" i="2" s="1"/>
  <c r="M97" i="14"/>
  <c r="L274" i="14"/>
  <c r="L267" i="14"/>
  <c r="L37" i="14"/>
  <c r="L57" i="2"/>
  <c r="L47" i="2"/>
  <c r="L60" i="2" l="1"/>
  <c r="K60" i="2"/>
  <c r="M98" i="14"/>
  <c r="M76" i="14" s="1"/>
  <c r="L76" i="14" s="1"/>
  <c r="L99" i="14" l="1"/>
  <c r="E38" i="8" l="1"/>
  <c r="E35" i="8"/>
  <c r="G114" i="13"/>
  <c r="D126" i="13" s="1"/>
  <c r="G128" i="13" s="1"/>
  <c r="D111" i="13"/>
  <c r="D105" i="13"/>
  <c r="D99" i="13"/>
  <c r="H99" i="13" s="1"/>
  <c r="D98" i="13"/>
  <c r="G92" i="13"/>
  <c r="G94" i="13" s="1"/>
  <c r="F89" i="13"/>
  <c r="D63" i="13"/>
  <c r="D54" i="13"/>
  <c r="H54" i="13" s="1"/>
  <c r="D57" i="13" s="1"/>
  <c r="H57" i="13" s="1"/>
  <c r="H39" i="13"/>
  <c r="H34" i="13"/>
  <c r="D29" i="13"/>
  <c r="H74" i="2"/>
  <c r="I3" i="6"/>
  <c r="E44" i="8" l="1"/>
  <c r="H46" i="2"/>
  <c r="F140" i="13"/>
  <c r="G44" i="8"/>
  <c r="G45" i="8"/>
  <c r="G104" i="13"/>
  <c r="G110" i="13" s="1"/>
  <c r="D112" i="13" s="1"/>
  <c r="H112" i="13" s="1"/>
  <c r="D118" i="13"/>
  <c r="D120" i="13" s="1"/>
  <c r="G122" i="13" s="1"/>
  <c r="D62" i="13"/>
  <c r="H62" i="13" s="1"/>
  <c r="D64" i="13" s="1"/>
  <c r="F66" i="13" s="1"/>
  <c r="G82" i="13"/>
  <c r="D132" i="13"/>
  <c r="G134" i="13" s="1"/>
  <c r="G69" i="13"/>
  <c r="D147" i="13"/>
  <c r="D106" i="13" l="1"/>
  <c r="H106" i="13" s="1"/>
  <c r="F137" i="13"/>
  <c r="F143" i="13"/>
  <c r="H147" i="13"/>
  <c r="D151" i="13"/>
  <c r="H151" i="13" s="1"/>
  <c r="D78" i="13"/>
  <c r="F79" i="13" s="1"/>
  <c r="D73" i="13"/>
  <c r="F74" i="13" s="1"/>
  <c r="C5" i="6"/>
  <c r="B5" i="6"/>
  <c r="C4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197" i="6"/>
  <c r="L190" i="6"/>
  <c r="L191" i="6"/>
  <c r="L189" i="6"/>
  <c r="L170" i="6"/>
  <c r="L171" i="6"/>
  <c r="L172" i="6"/>
  <c r="L173" i="6"/>
  <c r="L174" i="6"/>
  <c r="L169" i="6"/>
  <c r="L161" i="6"/>
  <c r="L162" i="6"/>
  <c r="L163" i="6"/>
  <c r="L164" i="6"/>
  <c r="L160" i="6"/>
  <c r="L183" i="6"/>
  <c r="L182" i="6"/>
  <c r="L181" i="6"/>
  <c r="L180" i="6"/>
  <c r="L179" i="6"/>
  <c r="L151" i="6"/>
  <c r="L150" i="6"/>
  <c r="L144" i="6"/>
  <c r="L143" i="6"/>
  <c r="L133" i="6"/>
  <c r="L132" i="6"/>
  <c r="K129" i="6"/>
  <c r="L129" i="6" s="1"/>
  <c r="K128" i="6"/>
  <c r="L128" i="6" s="1"/>
  <c r="L127" i="6"/>
  <c r="K126" i="6"/>
  <c r="L126" i="6" s="1"/>
  <c r="K125" i="6"/>
  <c r="L125" i="6" s="1"/>
  <c r="L124" i="6"/>
  <c r="L116" i="6"/>
  <c r="L115" i="6"/>
  <c r="L112" i="6"/>
  <c r="L113" i="6" s="1"/>
  <c r="L106" i="6"/>
  <c r="L105" i="6"/>
  <c r="L102" i="6"/>
  <c r="L101" i="6"/>
  <c r="L100" i="6"/>
  <c r="L94" i="6"/>
  <c r="L93" i="6"/>
  <c r="L88" i="6"/>
  <c r="L87" i="6"/>
  <c r="L86" i="6"/>
  <c r="L85" i="6"/>
  <c r="L84" i="6"/>
  <c r="L83" i="6"/>
  <c r="L82" i="6"/>
  <c r="L81" i="6"/>
  <c r="L76" i="6"/>
  <c r="L75" i="6"/>
  <c r="L74" i="6"/>
  <c r="L73" i="6"/>
  <c r="L72" i="6"/>
  <c r="L71" i="6"/>
  <c r="L70" i="6"/>
  <c r="L69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18" i="6"/>
  <c r="L17" i="6"/>
  <c r="L16" i="6"/>
  <c r="L15" i="6"/>
  <c r="L14" i="6"/>
  <c r="L13" i="6"/>
  <c r="L12" i="6"/>
  <c r="C2" i="6"/>
  <c r="L68" i="6" l="1"/>
  <c r="H77" i="6" s="1"/>
  <c r="D155" i="13"/>
  <c r="G157" i="13" s="1"/>
  <c r="L92" i="6"/>
  <c r="H95" i="6" s="1"/>
  <c r="L11" i="6"/>
  <c r="H19" i="6" s="1"/>
  <c r="K19" i="6" s="1"/>
  <c r="L22" i="6"/>
  <c r="H65" i="6" s="1"/>
  <c r="L178" i="6"/>
  <c r="L184" i="6" s="1"/>
  <c r="L196" i="6"/>
  <c r="L210" i="6" s="1"/>
  <c r="L211" i="6" s="1"/>
  <c r="L188" i="6"/>
  <c r="L80" i="6"/>
  <c r="K80" i="6" s="1"/>
  <c r="L103" i="6"/>
  <c r="L107" i="6"/>
  <c r="L108" i="6" s="1"/>
  <c r="L117" i="6"/>
  <c r="L134" i="6"/>
  <c r="L135" i="6" s="1"/>
  <c r="L142" i="6"/>
  <c r="K145" i="6" s="1"/>
  <c r="L152" i="6"/>
  <c r="L153" i="6" s="1"/>
  <c r="L154" i="6" s="1"/>
  <c r="L159" i="6"/>
  <c r="L165" i="6" s="1"/>
  <c r="L168" i="6"/>
  <c r="L175" i="6" s="1"/>
  <c r="L130" i="6"/>
  <c r="K95" i="6"/>
  <c r="K77" i="6"/>
  <c r="K68" i="6"/>
  <c r="L136" i="6" l="1"/>
  <c r="L137" i="6" s="1"/>
  <c r="K72" i="2"/>
  <c r="K142" i="6"/>
  <c r="L185" i="6"/>
  <c r="K92" i="6"/>
  <c r="K178" i="6"/>
  <c r="H89" i="6"/>
  <c r="K89" i="6" s="1"/>
  <c r="L192" i="6"/>
  <c r="L193" i="6" s="1"/>
  <c r="K22" i="6"/>
  <c r="K65" i="6"/>
  <c r="L109" i="6"/>
  <c r="L110" i="6" s="1"/>
  <c r="L118" i="6" s="1"/>
  <c r="L138" i="6"/>
  <c r="K139" i="6" s="1"/>
  <c r="K148" i="6"/>
  <c r="L155" i="6"/>
  <c r="L148" i="6"/>
  <c r="K156" i="6" s="1"/>
  <c r="L119" i="6" l="1"/>
  <c r="K120" i="6" s="1"/>
  <c r="L123" i="6"/>
  <c r="K123" i="6" s="1"/>
  <c r="H6" i="12"/>
  <c r="H7" i="12"/>
  <c r="H8" i="12"/>
  <c r="H9" i="12"/>
  <c r="H5" i="12"/>
  <c r="P43" i="11" l="1"/>
  <c r="H4" i="12"/>
  <c r="H10" i="12" s="1"/>
  <c r="H11" i="12" s="1"/>
  <c r="L98" i="6"/>
  <c r="K98" i="6" s="1"/>
  <c r="F6" i="13" l="1"/>
  <c r="K43" i="11"/>
  <c r="K44" i="11" s="1"/>
  <c r="O43" i="11"/>
  <c r="O44" i="11" s="1"/>
  <c r="M43" i="11"/>
  <c r="M44" i="11" s="1"/>
  <c r="I43" i="11"/>
  <c r="I44" i="11" s="1"/>
  <c r="N43" i="11"/>
  <c r="N44" i="11" s="1"/>
  <c r="J43" i="11"/>
  <c r="J44" i="11" s="1"/>
  <c r="L43" i="11"/>
  <c r="L44" i="11" s="1"/>
  <c r="H6" i="13"/>
  <c r="K14" i="11" s="1"/>
  <c r="E12" i="8" s="1"/>
  <c r="U45" i="11" l="1"/>
  <c r="J14" i="11"/>
  <c r="D12" i="8" s="1"/>
  <c r="H12" i="14"/>
  <c r="L12" i="14" s="1"/>
  <c r="E7" i="13"/>
  <c r="E26" i="13"/>
  <c r="H26" i="13" s="1"/>
  <c r="F7" i="13"/>
  <c r="H15" i="11" l="1"/>
  <c r="C13" i="8" s="1"/>
  <c r="G13" i="14"/>
  <c r="H7" i="13"/>
  <c r="K15" i="11" s="1"/>
  <c r="E13" i="8" s="1"/>
  <c r="H13" i="14"/>
  <c r="J15" i="11"/>
  <c r="D13" i="8" s="1"/>
  <c r="L13" i="14" l="1"/>
  <c r="U44" i="11" l="1"/>
  <c r="U47" i="11" l="1"/>
  <c r="D30" i="16" l="1"/>
  <c r="D32" i="16"/>
  <c r="C48" i="2"/>
  <c r="D29" i="16"/>
  <c r="F28" i="16"/>
  <c r="H28" i="16" s="1"/>
  <c r="C51" i="2"/>
  <c r="D41" i="16" s="1"/>
  <c r="D66" i="15" l="1"/>
  <c r="D33" i="16"/>
  <c r="F51" i="16"/>
  <c r="H51" i="16" s="1"/>
  <c r="H48" i="16"/>
  <c r="F29" i="16"/>
  <c r="H29" i="16" s="1"/>
  <c r="K53" i="2"/>
  <c r="L53" i="2"/>
  <c r="F32" i="16"/>
  <c r="H32" i="16" s="1"/>
  <c r="F30" i="16"/>
  <c r="H30" i="16" s="1"/>
  <c r="D51" i="16"/>
  <c r="D33" i="15" l="1"/>
  <c r="D49" i="16"/>
  <c r="L46" i="2"/>
  <c r="L45" i="2" s="1"/>
  <c r="K46" i="2"/>
  <c r="K68" i="2"/>
  <c r="K54" i="2"/>
  <c r="L54" i="2"/>
  <c r="K61" i="2"/>
  <c r="L61" i="2"/>
  <c r="L56" i="2" s="1"/>
  <c r="G16" i="17" l="1"/>
  <c r="K56" i="2"/>
  <c r="K45" i="2"/>
  <c r="P41" i="11"/>
  <c r="G12" i="17" l="1"/>
  <c r="P37" i="11"/>
  <c r="L41" i="11"/>
  <c r="L42" i="11" s="1"/>
  <c r="N41" i="11"/>
  <c r="N42" i="11" s="1"/>
  <c r="M41" i="11"/>
  <c r="M42" i="11" s="1"/>
  <c r="K41" i="11"/>
  <c r="K42" i="11" s="1"/>
  <c r="J41" i="11"/>
  <c r="J42" i="11" s="1"/>
  <c r="I41" i="11"/>
  <c r="I42" i="11" s="1"/>
  <c r="H41" i="11"/>
  <c r="H42" i="11" s="1"/>
  <c r="F41" i="16" l="1"/>
  <c r="H41" i="16" s="1"/>
  <c r="K51" i="2"/>
  <c r="L51" i="2"/>
  <c r="K52" i="2" l="1"/>
  <c r="K50" i="2" s="1"/>
  <c r="F31" i="16"/>
  <c r="H31" i="16" s="1"/>
  <c r="L52" i="2"/>
  <c r="L50" i="2" s="1"/>
  <c r="K80" i="2" s="1"/>
  <c r="P39" i="11" l="1"/>
  <c r="G14" i="17"/>
  <c r="G22" i="17" s="1"/>
  <c r="J53" i="16"/>
  <c r="J87" i="2" l="1"/>
  <c r="J95" i="2" s="1"/>
  <c r="E99" i="2" s="1"/>
  <c r="M80" i="2"/>
  <c r="H20" i="17"/>
  <c r="H16" i="17"/>
  <c r="H14" i="17"/>
  <c r="N39" i="11"/>
  <c r="N40" i="11" s="1"/>
  <c r="O39" i="11"/>
  <c r="O40" i="11" s="1"/>
  <c r="M39" i="11"/>
  <c r="M40" i="11" s="1"/>
  <c r="K39" i="11"/>
  <c r="K40" i="11" s="1"/>
  <c r="I39" i="11"/>
  <c r="I40" i="11" s="1"/>
  <c r="Q37" i="11"/>
  <c r="Q45" i="11" s="1"/>
  <c r="J39" i="11"/>
  <c r="J40" i="11" s="1"/>
  <c r="H39" i="11"/>
  <c r="H40" i="11" s="1"/>
  <c r="L39" i="11"/>
  <c r="L40" i="11" s="1"/>
  <c r="I33" i="16"/>
  <c r="I35" i="16"/>
  <c r="I43" i="16"/>
  <c r="I45" i="16"/>
  <c r="I36" i="16"/>
  <c r="I38" i="16"/>
  <c r="I48" i="16"/>
  <c r="I51" i="16"/>
  <c r="I47" i="16"/>
  <c r="I40" i="16"/>
  <c r="I42" i="16"/>
  <c r="I34" i="16"/>
  <c r="I30" i="16"/>
  <c r="I37" i="16"/>
  <c r="I41" i="16"/>
  <c r="I49" i="16"/>
  <c r="I46" i="16"/>
  <c r="I32" i="16"/>
  <c r="I50" i="16"/>
  <c r="I29" i="16"/>
  <c r="I44" i="16"/>
  <c r="I28" i="16"/>
  <c r="J28" i="16" s="1"/>
  <c r="I39" i="16"/>
  <c r="I31" i="16"/>
  <c r="J86" i="2" l="1"/>
  <c r="L86" i="2" s="1"/>
  <c r="E93" i="2"/>
  <c r="E95" i="2"/>
  <c r="L85" i="2"/>
  <c r="H18" i="17"/>
  <c r="H12" i="17"/>
  <c r="R39" i="11"/>
  <c r="R27" i="11"/>
  <c r="R41" i="11"/>
  <c r="R43" i="11"/>
  <c r="G24" i="11"/>
  <c r="R31" i="11"/>
  <c r="R29" i="11"/>
  <c r="R37" i="11"/>
  <c r="S37" i="11" s="1"/>
  <c r="H24" i="11"/>
  <c r="R25" i="11"/>
  <c r="K24" i="11"/>
  <c r="R33" i="11"/>
  <c r="R35" i="11"/>
  <c r="U40" i="11"/>
  <c r="H37" i="11" l="1"/>
  <c r="N37" i="11"/>
  <c r="I37" i="11"/>
  <c r="L37" i="11"/>
  <c r="O37" i="11"/>
  <c r="K37" i="11"/>
  <c r="M37" i="11"/>
  <c r="J37" i="11"/>
  <c r="G41" i="11"/>
  <c r="G37" i="11"/>
  <c r="G39" i="11"/>
  <c r="G40" i="11" s="1"/>
  <c r="R45" i="11"/>
  <c r="S25" i="11"/>
  <c r="S45" i="11" s="1"/>
  <c r="J45" i="11" l="1"/>
  <c r="J48" i="11" s="1"/>
  <c r="J38" i="11"/>
  <c r="L38" i="11"/>
  <c r="L45" i="11"/>
  <c r="L48" i="11" s="1"/>
  <c r="M45" i="11"/>
  <c r="M48" i="11" s="1"/>
  <c r="M38" i="11"/>
  <c r="I45" i="11"/>
  <c r="I48" i="11" s="1"/>
  <c r="I38" i="11"/>
  <c r="G38" i="11"/>
  <c r="G45" i="11"/>
  <c r="K45" i="11"/>
  <c r="K38" i="11"/>
  <c r="U35" i="11"/>
  <c r="U37" i="11" s="1"/>
  <c r="N45" i="11"/>
  <c r="N48" i="11" s="1"/>
  <c r="N38" i="11"/>
  <c r="G42" i="11"/>
  <c r="O41" i="11"/>
  <c r="O42" i="11" s="1"/>
  <c r="O38" i="11"/>
  <c r="U51" i="11"/>
  <c r="U53" i="11" s="1"/>
  <c r="H38" i="11"/>
  <c r="H45" i="11"/>
  <c r="V57" i="11" l="1"/>
  <c r="V59" i="11" s="1"/>
  <c r="U57" i="11"/>
  <c r="U59" i="11" s="1"/>
  <c r="O45" i="11"/>
  <c r="O48" i="11" s="1"/>
  <c r="K48" i="11"/>
  <c r="K50" i="11" s="1"/>
  <c r="K47" i="11"/>
  <c r="H47" i="11"/>
  <c r="H48" i="11"/>
  <c r="H50" i="11" s="1"/>
  <c r="G48" i="11"/>
  <c r="G46" i="11"/>
  <c r="H46" i="11" s="1"/>
  <c r="I46" i="11" s="1"/>
  <c r="J46" i="11" s="1"/>
  <c r="K46" i="11" s="1"/>
  <c r="L46" i="11" s="1"/>
  <c r="M46" i="11" s="1"/>
  <c r="N46" i="11" s="1"/>
  <c r="G47" i="11"/>
  <c r="W41" i="11"/>
  <c r="W44" i="11" s="1"/>
  <c r="V41" i="11"/>
  <c r="V44" i="11" s="1"/>
  <c r="Z41" i="11"/>
  <c r="Z44" i="11" s="1"/>
  <c r="U38" i="11"/>
  <c r="W38" i="11" s="1"/>
  <c r="X41" i="11"/>
  <c r="X44" i="11" s="1"/>
  <c r="Y41" i="11"/>
  <c r="Y44" i="11" s="1"/>
  <c r="O46" i="11" l="1"/>
  <c r="G50" i="11"/>
  <c r="G49" i="11"/>
  <c r="H49" i="11" s="1"/>
  <c r="I49" i="11" s="1"/>
  <c r="J49" i="11" s="1"/>
  <c r="K49" i="11" s="1"/>
  <c r="L49" i="11" s="1"/>
  <c r="M49" i="11" s="1"/>
  <c r="N49" i="11" s="1"/>
  <c r="O49" i="11" s="1"/>
  <c r="V47" i="11"/>
  <c r="W48" i="11" s="1"/>
  <c r="W49" i="11" s="1"/>
  <c r="J29" i="16" l="1"/>
  <c r="J30" i="16" s="1"/>
  <c r="J31" i="16" s="1"/>
  <c r="J32" i="16" s="1"/>
  <c r="J33" i="16" s="1"/>
  <c r="J34" i="16" s="1"/>
  <c r="J35" i="16" s="1"/>
  <c r="J36" i="16" s="1"/>
  <c r="J37" i="16" s="1"/>
  <c r="J38" i="16" s="1"/>
  <c r="J39" i="16" s="1"/>
  <c r="J40" i="16" s="1"/>
  <c r="J41" i="16" s="1"/>
  <c r="J42" i="16" s="1"/>
  <c r="J43" i="16" s="1"/>
  <c r="J44" i="16" s="1"/>
  <c r="J45" i="16" s="1"/>
  <c r="J46" i="16" s="1"/>
  <c r="J47" i="16" s="1"/>
  <c r="J48" i="16" s="1"/>
  <c r="J49" i="16" s="1"/>
  <c r="J50" i="16" s="1"/>
  <c r="J51" i="16" s="1"/>
</calcChain>
</file>

<file path=xl/sharedStrings.xml><?xml version="1.0" encoding="utf-8"?>
<sst xmlns="http://schemas.openxmlformats.org/spreadsheetml/2006/main" count="3098" uniqueCount="965">
  <si>
    <t>ITEM</t>
  </si>
  <si>
    <t>DESCRIÇÃO</t>
  </si>
  <si>
    <t>UND</t>
  </si>
  <si>
    <t>QUANT.</t>
  </si>
  <si>
    <t>Preço Unitário com BDI</t>
  </si>
  <si>
    <t>1.1</t>
  </si>
  <si>
    <t>m²</t>
  </si>
  <si>
    <t>1.2</t>
  </si>
  <si>
    <t>1.3</t>
  </si>
  <si>
    <t>2.1</t>
  </si>
  <si>
    <t>2.2</t>
  </si>
  <si>
    <t>m³</t>
  </si>
  <si>
    <t>m</t>
  </si>
  <si>
    <t>3.2</t>
  </si>
  <si>
    <t>4.1</t>
  </si>
  <si>
    <t>4.2</t>
  </si>
  <si>
    <t>1.4</t>
  </si>
  <si>
    <t>SERVENTE COM ENCARGOS COMPLEMENTARES</t>
  </si>
  <si>
    <t>88316</t>
  </si>
  <si>
    <t>3.1</t>
  </si>
  <si>
    <t>CARPINTEIRO DE FORMAS COM ENCARGOS COMPLEMENTARES</t>
  </si>
  <si>
    <t>Assentamento de (Guia Meio Fio)</t>
  </si>
  <si>
    <t>PECA DE MADEIRA NATIVA / REGIONAL 7,5 X 7,5CM (3X3) NAO APARELHADA (P/FORMA)</t>
  </si>
  <si>
    <t>PREGO DE ACO POLIDO COM CABECA 18 X 30 (2 3/4 X 10)</t>
  </si>
  <si>
    <t>CONCRETO MAGRO PARA LASTRO, TRAÇO 1:4,5:4,5 (CIMENTO/ AREIA MÉDIA/ BRITA 1)  - PREPARO MECÂNICO COM BETONEIRA 400 L. AF_07/2016</t>
  </si>
  <si>
    <t>CAMINHÃO BASCULANTE 14 M3, COM CAVALO MECÂNICO DE CAPACIDADE MÁXIMA DE TRAÇÃO COMBINADO DE 36000 KG, POTÊNCIA 286 CV, INCLUSIVE SEMIREBOQUE COM CAÇAMBA METÁLICA - CHP DIURNO. AF_12/2014</t>
  </si>
  <si>
    <t>CAMINHÃO BASCULANTE 14 M3, COM CAVALO MECÂNICO DE CAPACIDADE MÁXIMA DE TRAÇÃO COMBINADO DE 36000 KG, POTÊNCIA 286 CV, INCLUSIVE SEMIREBOQUE COM CAÇAMBA METÁLICA - CHI DIURNO. AF_12/2014</t>
  </si>
  <si>
    <t>CHP</t>
  </si>
  <si>
    <t>CHI</t>
  </si>
  <si>
    <t>PAVIMENTAÇÃO</t>
  </si>
  <si>
    <t>Total</t>
  </si>
  <si>
    <t>1.0</t>
  </si>
  <si>
    <t>2.0</t>
  </si>
  <si>
    <t>3.0</t>
  </si>
  <si>
    <t>4.3</t>
  </si>
  <si>
    <t>4.4</t>
  </si>
  <si>
    <t>PREFEITURA MUNICIPAL DE SANTO ANTÔNIO DOS LOPES</t>
  </si>
  <si>
    <t>AÇÃO:</t>
  </si>
  <si>
    <t>MUNICÍPIO:</t>
  </si>
  <si>
    <t>SANTO ANTÔNIO DOS LOPES - MA</t>
  </si>
  <si>
    <t xml:space="preserve">Execução de sarjeta em concreto </t>
  </si>
  <si>
    <t>SERVIÇOS PRELIMINARES</t>
  </si>
  <si>
    <t>TOTAL</t>
  </si>
  <si>
    <t>LOCALIDADE:</t>
  </si>
  <si>
    <t>SARRAFO DE MADEIRA NAO APARELHADA *2,5 X 7* CM, MACARANDUBA, ANGELIM OU EQUIVALENTE DA REGIAO</t>
  </si>
  <si>
    <t>M</t>
  </si>
  <si>
    <t>PLACA DE OBRA (PARA CONSTRUCAO CIVIL) EM CHAPA GALVANIZADA *N. 22*, DE *2,0 X 1,125* M</t>
  </si>
  <si>
    <t>KG</t>
  </si>
  <si>
    <t>H</t>
  </si>
  <si>
    <t>5932</t>
  </si>
  <si>
    <t>MOTONIVELADORA POTÊNCIA BÁSICA LÍQUIDA (PRIMEIRA MARCHA) 125 HP, PESO BRUTO 13032 KG, LARGURA DA LÂMINA DE 3,7 M - CHP DIURNO. AF_06/2014</t>
  </si>
  <si>
    <t>C</t>
  </si>
  <si>
    <t>COMPOSIÇÃO ANALÍTICA DA TAXA DE BONIFICAÇÃO E DESPESAS INDIRETAS (BDI)</t>
  </si>
  <si>
    <t>CUSTOS INDIRETOS</t>
  </si>
  <si>
    <t xml:space="preserve">Administração Central </t>
  </si>
  <si>
    <t xml:space="preserve">Seguros </t>
  </si>
  <si>
    <t>Riscos</t>
  </si>
  <si>
    <t>Garantia</t>
  </si>
  <si>
    <t>Despesas Financeiras</t>
  </si>
  <si>
    <t>LUCRO</t>
  </si>
  <si>
    <t>Lucro</t>
  </si>
  <si>
    <t>TRIBUTOS</t>
  </si>
  <si>
    <t>Pis</t>
  </si>
  <si>
    <t>Cofins</t>
  </si>
  <si>
    <t xml:space="preserve">ISSQN </t>
  </si>
  <si>
    <t>CPRB</t>
  </si>
  <si>
    <t>TAXA TOTAL DE BDI</t>
  </si>
  <si>
    <t>Segundo Acórdão 2622/2013 do Tribunal de Contas da União – TCU, o cálculo do BDI deve ser feito da seguinte maneira:</t>
  </si>
  <si>
    <t>limite do TCU</t>
  </si>
  <si>
    <t>AC  →  Administração Central</t>
  </si>
  <si>
    <t>S  →  Seguro</t>
  </si>
  <si>
    <t xml:space="preserve">R    →  Riscos </t>
  </si>
  <si>
    <t>G     →  Garantia</t>
  </si>
  <si>
    <t>DF    →  Despesas Financeiras</t>
  </si>
  <si>
    <t>L  →  Taxa de Lucro/Remuneração</t>
  </si>
  <si>
    <t>I  →  Incidência de Impostos (PIS(0,65%), COFINS(3%), ISS(MUN.) CPRB 2%)</t>
  </si>
  <si>
    <t>cprb a partir nov/15  - 4,50%</t>
  </si>
  <si>
    <t>BDI  PARA OBRAS RODOVIARIAS SEM CPRB</t>
  </si>
  <si>
    <t>BDI PARA OBRAS PREDIAIS SEM CPRB</t>
  </si>
  <si>
    <t>BDI PARA OBRAS DE SANEAMENTO SEM CPRB</t>
  </si>
  <si>
    <t>ENCARGOS SOCIAIS SOBRE PREÇOS DA MÃO DE OBRA HORISTA E MENSALISTA</t>
  </si>
  <si>
    <t>CÓDIGO</t>
  </si>
  <si>
    <t>HORISTA %</t>
  </si>
  <si>
    <t>MENSALISTA %</t>
  </si>
  <si>
    <t>GRUPO  A</t>
  </si>
  <si>
    <t>A1</t>
  </si>
  <si>
    <t>INSS</t>
  </si>
  <si>
    <t>0,00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</si>
  <si>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</si>
  <si>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</si>
  <si>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</si>
  <si>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</si>
  <si>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</si>
  <si>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</si>
  <si>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</si>
  <si>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</si>
  <si>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</si>
  <si>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</si>
  <si>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</si>
  <si>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</si>
  <si>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</si>
  <si>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</si>
  <si>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8,00</t>
  </si>
  <si>
    <t>A</t>
  </si>
  <si>
    <t>TOTAL DOS ENCARGOS SOCIAIS BÁSICOS</t>
  </si>
  <si>
    <t>GRUPO  B</t>
  </si>
  <si>
    <t>B1</t>
  </si>
  <si>
    <t>REPOUSO SEMANAL REMUNERADO</t>
  </si>
  <si>
    <t>B2</t>
  </si>
  <si>
    <t>FERIADOS</t>
  </si>
  <si>
    <t>B3</t>
  </si>
  <si>
    <t>AUXÍLIO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</si>
  <si>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</si>
  <si>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</si>
  <si>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</si>
  <si>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</si>
  <si>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</si>
  <si>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</si>
  <si>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</si>
  <si>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</si>
  <si>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</si>
  <si>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</si>
  <si>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</si>
  <si>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</si>
  <si>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</si>
  <si>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</si>
  <si>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</si>
  <si>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</si>
  <si>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</si>
  <si>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</si>
  <si>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</si>
  <si>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</si>
  <si>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TRABALHADO</t>
  </si>
  <si>
    <t>C3</t>
  </si>
  <si>
    <t>FÉRIAS (INDENIZADAS)</t>
  </si>
  <si>
    <t>C4</t>
  </si>
  <si>
    <t>DEPÓSITO RESCISÃO SEM JUSTA CAUSA</t>
  </si>
  <si>
    <t>C5</t>
  </si>
  <si>
    <t>INDENIZAÇÃO ADICIONAL</t>
  </si>
  <si>
    <t>TOTAL DOS ENCARGOS SOCIAIS QUE NÃO RECEBEM INCIDÊNCIAS GLOBAIS DE A</t>
  </si>
  <si>
    <t>GRUPO D</t>
  </si>
  <si>
    <t>D1</t>
  </si>
  <si>
    <t>REINCIDÊNCIA DE GRUPO A SOBRE GRUPO B</t>
  </si>
  <si>
    <t>D2</t>
  </si>
  <si>
    <t>REINCIDÊNCIA DE GRUPO  A SOBRE AVISO PRÉVIO TRABALHADO E REINCIDÊNCIA DO FGTS SOBRE AVISO PRÉVIO INDENIZADO</t>
  </si>
  <si>
    <t>D</t>
  </si>
  <si>
    <t>TOTAL DAS TAXAS INCIDÊNCIAS E REINCIDÊNCIAS</t>
  </si>
  <si>
    <t>TOTAL (A+B+C+D)</t>
  </si>
  <si>
    <t>CAMINHÃO PIPA 10.000 L TRUCADO, PESO BRUTO TOTAL 23.000 KG, CARGA ÚTIL MÁXIMA 15.935 KG, DISTÂNCIA ENTRE EIXOS 4,8 M, POTÊNCIA 230 CV, INCLUSIVE TANQUE DE AÇO PARA TRANSPORTE DE ÁGUA - CHP DIURNO. AF_06/2014</t>
  </si>
  <si>
    <t>CAMINHÃO PIPA 10.000 L TRUCADO, PESO BRUTO TOTAL 23.000 KG, CARGA ÚTIL MÁXIMA 15.935 KG, DISTÂNCIA ENTRE EIXOS 4,8 M, POTÊNCIA 230 CV, INCLUSIVE TANQUE DE AÇO PARA TRANSPORTE DE ÁGUA - CHI DIURNO. AF_06/2014</t>
  </si>
  <si>
    <t>MOTONIVELADORA POTÊNCIA BÁSICA LÍQUIDA (PRIMEIRA MARCHA) 125 HP, PESO BRUTO 13032 KG, LARGURA DA LÂMINA DE 3,7 M - CHI DIURNO. AF_06/2014</t>
  </si>
  <si>
    <t>ROLO COMPACTADOR PE DE CARNEIRO VIBRATORIO, POTENCIA 125 HP, PESO OPERACIONAL SEM/COM LASTRO 11,95 / 13,30 T, IMPACTO DINAMICO 38,5 / 22,5 T, LARGURA DE TRABALHO 2,15 M - CHP DIURNO. AF_06/2014</t>
  </si>
  <si>
    <t>TRATOR DE PNEUS COM POTÊNCIA DE 85 CV, TRAÇÃO 4X4, COM GRADE DE DISCOS ACOPLADA - CHP DIURNO. AF_02/2017</t>
  </si>
  <si>
    <t>TRATOR DE PNEUS COM POTÊNCIA DE 85 CV, TRAÇÃO 4X4, COM GRADE DE DISCOS ACOPLADA - CHI DIURNO. AF_02/2017</t>
  </si>
  <si>
    <t>5901</t>
  </si>
  <si>
    <t>5903</t>
  </si>
  <si>
    <t>5934</t>
  </si>
  <si>
    <t>7049</t>
  </si>
  <si>
    <t>96028</t>
  </si>
  <si>
    <t>96029</t>
  </si>
  <si>
    <t>Limpeza Mecanizada de Terreno com Remoção de Camada Vegetal, Utilizando Motoniveladora</t>
  </si>
  <si>
    <t>4.0</t>
  </si>
  <si>
    <t xml:space="preserve"> </t>
  </si>
  <si>
    <t>PECA DE MADEIRA 3A/4A NATIVA/REGIONAL 5 X 5 CM</t>
  </si>
  <si>
    <t>TABUA MADEIRA 2A QUALIDADE 2,5 X 20,0CM (1 X 8") NAO APARELHADA</t>
  </si>
  <si>
    <t>EXTINTOR DE INCENDIO PORTATIL COM CARGA DE AGUA PRESSURIZADA DE 10 L, CLASSE A</t>
  </si>
  <si>
    <t>UN</t>
  </si>
  <si>
    <t>EXTINTOR DE INCENDIO PORTATIL COM CARGA DE PO QUIMICO SECO (PQS) DE 4 KG, CLASSE BC</t>
  </si>
  <si>
    <t>FECHO / TRINCO / FERROLHO FIO REDONDO, DE SOBREPOR, 8", EM ACO GALVANIZADO / ZINCADO</t>
  </si>
  <si>
    <t>FORRO DE PVC LISO, BRANCO, REGUA DE 10 CM, ESPESSURA DE 8 MM A 10 MM (COM COLOCACAO / SEM ESTRUTURA METALICA)</t>
  </si>
  <si>
    <t>PORTA DE FERRO TIPO VENEZIANA, DE ABRIR, SEM BANDEIRA SEM FERRAGENS</t>
  </si>
  <si>
    <t>DISJUNTOR TERMOMAGNETICO MONOPOLAR PADRAO NEMA (AMERICANO) 10 A 30A 240V, FORNECIMENTO E INSTALACAO</t>
  </si>
  <si>
    <t>ALVENARIA EMBASAMENTO E=20 CM BLOCO CONCRETO</t>
  </si>
  <si>
    <t>QUADRO DE DISTRIBUICAO DE ENERGIA P/ 6 DISJUNTORES TERMOMAGNETICOS MONOPOLARES SEM BARRAMENTO, DE EMBUTIR, EM CHAPA METALICA - FORNECIMENTO E INSTALACAO</t>
  </si>
  <si>
    <t>APLICAÇÃO MANUAL DE PINTURA COM TINTA LÁTEX PVA EM PAREDES, DUAS DEMÃOS. AF_06/2014</t>
  </si>
  <si>
    <t>FIXAÇÃO DE TUBOS HORIZONTAIS DE PVC, CPVC OU COBRE DIÂMETROS MENORES OU IGUAIS A 40 MM OU ELETROCALHAS ATÉ 150MM DE LARGURA, COM ABRAÇADEIRA METÁLICA RÍGIDA TIPO D 1/2, FIXADA EM PERFILADO EM LAJE. AF_05/2015</t>
  </si>
  <si>
    <t>FIXAÇÃO DE TUBOS VERTICAIS DE PPR DIÂMETROS MENORES OU IGUAIS A 40 MM COM ABRAÇADEIRA METÁLICA RÍGIDA TIPO D 1/2", FIXADA EM PERFILADO EM ALVENARIA. AF_05/2015</t>
  </si>
  <si>
    <t>ELETRODUTO RÍGIDO ROSCÁVEL, PVC, DN 20 MM (1/2"), PARA CIRCUITOS TERMINAIS, INSTALADO EM FORRO - FORNECIMENTO E INSTALAÇÃO. AF_12/2015</t>
  </si>
  <si>
    <t>ELETRODUTO RÍGIDO ROSCÁVEL, PVC, DN 20 MM (1/2"), PARA CIRCUITOS TERMINAIS, INSTALADO EM PAREDE - FORNECIMENTO E INSTALAÇÃO. AF_12/2015</t>
  </si>
  <si>
    <t>CURVA 90 GRAUS PARA ELETRODUTO, PVC, ROSCÁVEL, DN 20 MM (1/2"), PARA CIRCUITOS TERMINAIS, INSTALADA EM PAREDE - FORNECIMENTO E INSTALAÇÃO. AF_12/2015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</si>
  <si>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</si>
  <si>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</si>
  <si>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</si>
  <si>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TOMADA BAIXA DE EMBUTIR (1 MÓDULO), 2P+T 10 A, INCLUINDO SUPORTE E PLACA - FORNECIMENTO E INSTALAÇÃO. AF_12/2015</t>
  </si>
  <si>
    <t>INTERRUPTOR SIMPLES (1 MÓDULO) COM 2 TOMADAS DE EMBUTIR 2P+T 10 A,  INCLUINDO SUPORTE E PLACA - FORNECIMENTO E INSTALAÇÃO. AF_12/2015</t>
  </si>
  <si>
    <t>TRAMA DE MADEIRA COMPOSTA POR TERÇAS PARA TELHADOS DE ATÉ 2 ÁGUAS PARA TELHA ONDULADA DE FIBROCIMENTO, METÁLICA, PLÁSTICA OU TERMOACÚSTICA, INCLUSO TRANSPORTE VERTICAL. AF_12/2015</t>
  </si>
  <si>
    <t>LÂMPADA FLUORESCENTE COMPACTA 15 W 2U, BASE E27 - FORNECIMENTO E INSTALAÇÃO</t>
  </si>
  <si>
    <t>ESCAVAÇÃO MANUAL DE VALA COM PROFUNDIDADE MENOR OU IGUAL A 1,30 M. AF_03/2016</t>
  </si>
  <si>
    <t>TELHAMENTO COM TELHA ONDULADA DE FIBROCIMENTO E = 6 MM, COM RECOBRIMENTO LATERAL DE 1 1/4 DE ONDA PARA TELHADO COM INCLINAÇÃO MÁXIMA DE 10°, COM ATÉ 2 ÁGUAS, INCLUSO IÇAMENTO. AF_06/2016</t>
  </si>
  <si>
    <t>JANELA DE AÇO BASCULANTE, FIXAÇÃO COM ARGAMASSA, SEM VIDROS, PADRONIZADA. AF_07/2016</t>
  </si>
  <si>
    <t>CONDULETE DE PVC, TIPO B, PARA ELETRODUTO DE PVC SOLDÁVEL DN 25 MM (3/4''), APARENTE - FORNECIMENTO E INSTALAÇÃO. AF_11/2016</t>
  </si>
  <si>
    <t>CONDULETE DE PVC, TIPO LB, PARA ELETRODUTO DE PVC SOLDÁVEL DN 25 MM (3/4''), APARENTE - FORNECIMENTO E INSTALAÇÃO. AF_11/2016</t>
  </si>
  <si>
    <t>REATERRO MANUAL APILOADO COM SOQUETE. AF_10/2017</t>
  </si>
  <si>
    <t>LUMINÁRIA TIPO CALHA, DE SOBREPOR, COM 2 LÂMPADAS TUBULARES DE 36 W - FORNECIMENTO E INSTALAÇÃO. AF_11/2017</t>
  </si>
  <si>
    <t>LUMINÁRIA TIPO SPOT, DE SOBREPOR, COM 1 LÂMPADA DE 15 W - FORNECIMENTO E INSTALAÇÃO. AF_11/2017</t>
  </si>
  <si>
    <t>DRENAGEM</t>
  </si>
  <si>
    <t>A9</t>
  </si>
  <si>
    <t>SECONDI</t>
  </si>
  <si>
    <t>Escavação e carga mat. jazida (consv)</t>
  </si>
  <si>
    <t>Compactação de aterros a 100% proctor normal</t>
  </si>
  <si>
    <t>Solo local / selo de argila apiloado</t>
  </si>
  <si>
    <t>3 S 01 200 00</t>
  </si>
  <si>
    <t>5 S 01 511 00</t>
  </si>
  <si>
    <t>1 A 00 999 06</t>
  </si>
  <si>
    <t>Imprimação</t>
  </si>
  <si>
    <t>3.3</t>
  </si>
  <si>
    <t>3.4</t>
  </si>
  <si>
    <t>3.5</t>
  </si>
  <si>
    <t>74153/001</t>
  </si>
  <si>
    <t>Caiação em Meio Fio</t>
  </si>
  <si>
    <t>AAUQ (Areia Asfalto Usinadoa Quente )</t>
  </si>
  <si>
    <t>Descida de água para cortes em degraus tipo dcd 02</t>
  </si>
  <si>
    <t>11738/ORSE</t>
  </si>
  <si>
    <t>Forma plana para estruturas, em compensado resinado de 12mm, 02 usos, inclusive escoramento - Revisada 07.2015</t>
  </si>
  <si>
    <t>m2</t>
  </si>
  <si>
    <t>00140/ORSE</t>
  </si>
  <si>
    <t>Aço CA - 50 Ø 6,3 a 12,5mm, inclusive corte, dobragem, montagem e colocacao de ferragens nas formas, para superestruturas e fundações - R1</t>
  </si>
  <si>
    <t>kg</t>
  </si>
  <si>
    <t>02497/ORSE</t>
  </si>
  <si>
    <t>Escavação manual de vala ou cava em material de 1ª categoria, profundidade até 1,50m</t>
  </si>
  <si>
    <t>m3</t>
  </si>
  <si>
    <t>02519/ORSE</t>
  </si>
  <si>
    <t>Reaterro manual de valas ou áreas, com espalhamento e compactação, utilizando compactador à percussão sapinho, sem controle do grau de compactação</t>
  </si>
  <si>
    <t>07691/ORSE</t>
  </si>
  <si>
    <t>Concreto simples fabricado na obra, fck=21 mpa, lançado e adensado</t>
  </si>
  <si>
    <t>00115/ORSE</t>
  </si>
  <si>
    <t>BDI</t>
  </si>
  <si>
    <t xml:space="preserve">     Leis Sociais Mensalista:</t>
  </si>
  <si>
    <t xml:space="preserve">               Leis Sociais Horista:</t>
  </si>
  <si>
    <t xml:space="preserve">                               Data Base:</t>
  </si>
  <si>
    <t xml:space="preserve">                                          BDI:</t>
  </si>
  <si>
    <t>Composições Analíticas com Preço Unitário</t>
  </si>
  <si>
    <t>Composições Principais</t>
  </si>
  <si>
    <t>Item</t>
  </si>
  <si>
    <t>Código</t>
  </si>
  <si>
    <t>Banco</t>
  </si>
  <si>
    <t xml:space="preserve">                                  Descrição</t>
  </si>
  <si>
    <t>Tipo</t>
  </si>
  <si>
    <t>Und</t>
  </si>
  <si>
    <t>Quant.</t>
  </si>
  <si>
    <t>Valor Unit</t>
  </si>
  <si>
    <t>Composição</t>
  </si>
  <si>
    <t xml:space="preserve"> 74209/001 </t>
  </si>
  <si>
    <t>SINAPI</t>
  </si>
  <si>
    <t>PLACA DE OBRA EM CHAPA DE ACO GALVANIZADO</t>
  </si>
  <si>
    <t>CANT - CANTEIRO DE OBRAS</t>
  </si>
  <si>
    <t>Composição Auxiliar</t>
  </si>
  <si>
    <t xml:space="preserve"> 88316 </t>
  </si>
  <si>
    <t>SEDI - SERVIÇOS DIVERSOS</t>
  </si>
  <si>
    <t>2,0</t>
  </si>
  <si>
    <t xml:space="preserve"> 88262 </t>
  </si>
  <si>
    <t>1,0</t>
  </si>
  <si>
    <t xml:space="preserve"> 94962 </t>
  </si>
  <si>
    <t>FUES - FUNDAÇÕES E ESTRUTURAS</t>
  </si>
  <si>
    <t>Insumo da Composição</t>
  </si>
  <si>
    <t xml:space="preserve"> 00004417 </t>
  </si>
  <si>
    <t>Material</t>
  </si>
  <si>
    <t xml:space="preserve"> 00005075 </t>
  </si>
  <si>
    <t>0,11</t>
  </si>
  <si>
    <t xml:space="preserve"> 00004813 </t>
  </si>
  <si>
    <t xml:space="preserve"> 00004491 </t>
  </si>
  <si>
    <t>4,0</t>
  </si>
  <si>
    <t>Valor do BDI =&gt;</t>
  </si>
  <si>
    <t>Valor com BDI =&gt;</t>
  </si>
  <si>
    <t>Descrição</t>
  </si>
  <si>
    <t xml:space="preserve"> 93208 </t>
  </si>
  <si>
    <t>EXECUÇÃO DE ALMOXARIFADO EM CANTEIRO DE OBRA EM CHAPA DE MADEIRA COMPENSADA, INCLUSO PRATELEIRAS. AF_02/2016</t>
  </si>
  <si>
    <t>14,59</t>
  </si>
  <si>
    <t>PAREDE DE MADEIRA COMPENSADA PARA CONSTRUÇÃO TEMPORÁRIA EM CHAPA SIMPLES, EXTERNA, COM ÁREA LÍQUIDA MAIOR OU IGUAL A 6 M², SEM VÃO. AF_05/2018</t>
  </si>
  <si>
    <t>74,53</t>
  </si>
  <si>
    <t>PAREDE DE MADEIRA COMPENSADA PARA CONSTRUÇÃO TEMPORÁRIA EM CHAPA SIMPLES, EXTERNA, COM ÁREA LÍQUIDA MENOR QUE 6 M², SEM VÃO. AF_05/2018</t>
  </si>
  <si>
    <t>76,34</t>
  </si>
  <si>
    <t>PAREDE DE MADEIRA COMPENSADA PARA CONSTRUÇÃO TEMPORÁRIA EM CHAPA SIMPLES, INTERNA, COM ÁREA LÍQUIDA MAIOR OU IGUAL A 6 M², SEM VÃO. AF_05/2018</t>
  </si>
  <si>
    <t>65,68</t>
  </si>
  <si>
    <t>PAREDE DE MADEIRA COMPENSADA PARA CONSTRUÇÃO TEMPORÁRIA EM CHAPA SIMPLES, INTERNA, COM ÁREA LÍQUIDA MENOR QUE 6 M², SEM VÃO. AF_05/2018</t>
  </si>
  <si>
    <t>66,97</t>
  </si>
  <si>
    <t>PAREDE DE MADEIRA COMPENSADA PARA CONSTRUÇÃO TEMPORÁRIA EM CHAPA SIMPLES, EXTERNA, COM ÁREA LÍQUIDA MAIOR OU IGUAL A 6 M², COM VÃO. AF_05/2018</t>
  </si>
  <si>
    <t>87,55</t>
  </si>
  <si>
    <t>PAREDE DE MADEIRA COMPENSADA PARA CONSTRUÇÃO TEMPORÁRIA EM CHAPA SIMPLES, EXTERNA, COM ÁREA LÍQUIDA MENOR QUE 6 M², COM VÃO. AF_05/2018</t>
  </si>
  <si>
    <t>110,28</t>
  </si>
  <si>
    <t>PAREDE DE MADEIRA COMPENSADA PARA CONSTRUÇÃO TEMPORÁRIA EM CHAPA SIMPLES, INTERNA, COM ÁREA LÍQUIDA MAIOR OU IGUAL A 6 M², COM VÃO. AF_05/2018</t>
  </si>
  <si>
    <t>75,31</t>
  </si>
  <si>
    <t>PAREDE DE MADEIRA COMPENSADA PARA CONSTRUÇÃO TEMPORÁRIA EM CHAPA SIMPLES, INTERNA, COM ÁREA LÍQUIDA MENOR QUE 6 M², COM VÃO. AF_05/2018</t>
  </si>
  <si>
    <t>92,72</t>
  </si>
  <si>
    <t>COBE - COBERTURA</t>
  </si>
  <si>
    <t>10,56</t>
  </si>
  <si>
    <t>39,34</t>
  </si>
  <si>
    <t>MOVT - MOVIMENTO DE TERRA</t>
  </si>
  <si>
    <t>43,23</t>
  </si>
  <si>
    <t>ESQV - ESQUADRIAS/FERRAGENS/VIDROS</t>
  </si>
  <si>
    <t>320,43</t>
  </si>
  <si>
    <t>390,92</t>
  </si>
  <si>
    <t>LASTRO DE CONCRETO MAGRO, APLICADO EM PISOS OU RADIERS, ESPESSURA DE 3 CM. AF_07/2016</t>
  </si>
  <si>
    <t>9,78</t>
  </si>
  <si>
    <t>LASTRO DE CONCRETO MAGRO, APLICADO EM PISOS OU RADIERS, ESPESSURA DE 5 CM. AF_07/2016</t>
  </si>
  <si>
    <t>16,31</t>
  </si>
  <si>
    <t>324,69</t>
  </si>
  <si>
    <t>INHI - INSTALAÇÕES HIDROS SANITÁRIAS</t>
  </si>
  <si>
    <t>1,79</t>
  </si>
  <si>
    <t>INEL - INSTALAÇÃO ELÉTRICA/ELETRIFICAÇÃO E ILUMINAÇÃO EXTERNA</t>
  </si>
  <si>
    <t>5,15</t>
  </si>
  <si>
    <t>5,61</t>
  </si>
  <si>
    <t>0,90</t>
  </si>
  <si>
    <t>6,98</t>
  </si>
  <si>
    <t>1,41</t>
  </si>
  <si>
    <t>2,08</t>
  </si>
  <si>
    <t>5,91</t>
  </si>
  <si>
    <t>13,08</t>
  </si>
  <si>
    <t>8,20</t>
  </si>
  <si>
    <t>11,85</t>
  </si>
  <si>
    <t>54,88</t>
  </si>
  <si>
    <t xml:space="preserve"> 92000 </t>
  </si>
  <si>
    <t>17,67</t>
  </si>
  <si>
    <t xml:space="preserve"> 92025 </t>
  </si>
  <si>
    <t>41,95</t>
  </si>
  <si>
    <t xml:space="preserve"> 93040 </t>
  </si>
  <si>
    <t>11,09</t>
  </si>
  <si>
    <t xml:space="preserve"> 97586 </t>
  </si>
  <si>
    <t>87,52</t>
  </si>
  <si>
    <t xml:space="preserve"> 97593 </t>
  </si>
  <si>
    <t>80,33</t>
  </si>
  <si>
    <t xml:space="preserve"> 96995 </t>
  </si>
  <si>
    <t>26,21</t>
  </si>
  <si>
    <t xml:space="preserve"> 88487 </t>
  </si>
  <si>
    <t>PINT - PINTURAS</t>
  </si>
  <si>
    <t xml:space="preserve"> 00006193 </t>
  </si>
  <si>
    <t>4,48</t>
  </si>
  <si>
    <t xml:space="preserve"> 00004513 </t>
  </si>
  <si>
    <t>1,38</t>
  </si>
  <si>
    <t xml:space="preserve"> 00011587 </t>
  </si>
  <si>
    <t>49,92</t>
  </si>
  <si>
    <t xml:space="preserve"> 00011455 </t>
  </si>
  <si>
    <t>7,11</t>
  </si>
  <si>
    <t xml:space="preserve"> 00010891 </t>
  </si>
  <si>
    <t>188,26</t>
  </si>
  <si>
    <t xml:space="preserve"> 00010886 </t>
  </si>
  <si>
    <t>194,68</t>
  </si>
  <si>
    <t>CHOR - CUSTOS HORÁRIOS DE MÁQUINAS E EQUIPAMENTOS</t>
  </si>
  <si>
    <t>SICRO 2</t>
  </si>
  <si>
    <t>REGULARIZACAO E COMPACTACAO DE SUBLEITO ATE 20 CM DE ESPESSURA</t>
  </si>
  <si>
    <t>PAVI - PAVIMENTAÇÃO</t>
  </si>
  <si>
    <t>10,93</t>
  </si>
  <si>
    <t xml:space="preserve"> 96028 </t>
  </si>
  <si>
    <t xml:space="preserve"> 5934 </t>
  </si>
  <si>
    <t xml:space="preserve"> 96029 </t>
  </si>
  <si>
    <t>22,16</t>
  </si>
  <si>
    <t xml:space="preserve"> 5901 </t>
  </si>
  <si>
    <t xml:space="preserve"> 5932 </t>
  </si>
  <si>
    <t xml:space="preserve"> 7049 </t>
  </si>
  <si>
    <t>114,66</t>
  </si>
  <si>
    <t xml:space="preserve"> 5903 </t>
  </si>
  <si>
    <t>26,36</t>
  </si>
  <si>
    <t>TRANSPORTE COM CAMINHÃO BASCULANTE DE 14 M3, EM VIA URBANA PAVIMENTADA, DMT ACIMA DE 30 KM (UNIDADE: M3XKM). AF_04/2016</t>
  </si>
  <si>
    <t>TRAN - TRANSPORTES, CARGAS E DESCARGAS</t>
  </si>
  <si>
    <t>M3XKM</t>
  </si>
  <si>
    <t xml:space="preserve"> 89876 </t>
  </si>
  <si>
    <t xml:space="preserve"> 89877 </t>
  </si>
  <si>
    <t>EQUIPAMNTOS</t>
  </si>
  <si>
    <t>E001</t>
  </si>
  <si>
    <t>Trator de Esteiras - com lâmina (67 kW)</t>
  </si>
  <si>
    <t>E006</t>
  </si>
  <si>
    <t>Motoniveladora - (103 kW)</t>
  </si>
  <si>
    <t>E016</t>
  </si>
  <si>
    <t>Carregadeira de Pneus - 1,91 m3 (113 kW)</t>
  </si>
  <si>
    <t>Custo Horário de Equipamentos</t>
  </si>
  <si>
    <t>MAO-DE-OBRA</t>
  </si>
  <si>
    <t>T501</t>
  </si>
  <si>
    <t>Encarregado de turma</t>
  </si>
  <si>
    <t>T701</t>
  </si>
  <si>
    <t>Servente</t>
  </si>
  <si>
    <t>Custo Horário da Mão-de-Obra</t>
  </si>
  <si>
    <t>Adc.M.O. - Ferramentas:</t>
  </si>
  <si>
    <t>Custo Horário de Execução</t>
  </si>
  <si>
    <t>Custo Unitário de Execução</t>
  </si>
  <si>
    <t>MATERIAIS</t>
  </si>
  <si>
    <t xml:space="preserve">M980 </t>
  </si>
  <si>
    <t>Indenização de jazida</t>
  </si>
  <si>
    <t>Custo  Total do material</t>
  </si>
  <si>
    <t>ATIVIDADES AUXILIARES</t>
  </si>
  <si>
    <t>1 A 01 100 02</t>
  </si>
  <si>
    <t xml:space="preserve"> Limpeza de camada vegetal em jazida (consv)</t>
  </si>
  <si>
    <t>1 A 01 105 02</t>
  </si>
  <si>
    <t>Expurgo de jazida (consv)</t>
  </si>
  <si>
    <t>Custo  Total das atividades</t>
  </si>
  <si>
    <t>Preço Unitário Total</t>
  </si>
  <si>
    <t>LDI</t>
  </si>
  <si>
    <t>EQUIPAMENTO</t>
  </si>
  <si>
    <t>E007</t>
  </si>
  <si>
    <t>Trator Agrícola - (74 kW)</t>
  </si>
  <si>
    <t>E013</t>
  </si>
  <si>
    <t>Rolo Compactador - pé de carneiro autop. 11,25t vibrat</t>
  </si>
  <si>
    <t>E101</t>
  </si>
  <si>
    <t>Grade de Discos - GA 24 x 24</t>
  </si>
  <si>
    <t>E407</t>
  </si>
  <si>
    <t>Caminhão Tanque - 10.000 l (210 kW)</t>
  </si>
  <si>
    <t>MAO- DE- OBRA</t>
  </si>
  <si>
    <t>ESPALHAMENTO MECANIZADO (COM MOTONIVELADORA 140 HP) MATERIAL 1A. CATEGORIA</t>
  </si>
  <si>
    <t>EQUIPAMENTOS</t>
  </si>
  <si>
    <t>VALOR TOTAL COM BDI =&gt;</t>
  </si>
  <si>
    <t>ORSE</t>
  </si>
  <si>
    <t xml:space="preserve">Concreto simples fabricado na obra, fck=21mpa, lançado e adensado </t>
  </si>
  <si>
    <t>Valor do BDI:</t>
  </si>
  <si>
    <t>Valor Total com BDI</t>
  </si>
  <si>
    <t xml:space="preserve"> 93209</t>
  </si>
  <si>
    <t xml:space="preserve"> 93210</t>
  </si>
  <si>
    <t xml:space="preserve"> 93211</t>
  </si>
  <si>
    <t xml:space="preserve"> 93212</t>
  </si>
  <si>
    <t xml:space="preserve"> 93213</t>
  </si>
  <si>
    <t xml:space="preserve"> 93214</t>
  </si>
  <si>
    <t xml:space="preserve"> 93215</t>
  </si>
  <si>
    <t xml:space="preserve"> 93216</t>
  </si>
  <si>
    <t xml:space="preserve"> 93217</t>
  </si>
  <si>
    <t xml:space="preserve"> 93218</t>
  </si>
  <si>
    <t xml:space="preserve"> 93219</t>
  </si>
  <si>
    <t xml:space="preserve"> 93220</t>
  </si>
  <si>
    <t xml:space="preserve"> 93221</t>
  </si>
  <si>
    <t xml:space="preserve"> 93222</t>
  </si>
  <si>
    <t xml:space="preserve"> 93223</t>
  </si>
  <si>
    <t xml:space="preserve"> 93224</t>
  </si>
  <si>
    <t xml:space="preserve"> 93225</t>
  </si>
  <si>
    <t xml:space="preserve"> 93226</t>
  </si>
  <si>
    <t xml:space="preserve"> 93227</t>
  </si>
  <si>
    <t xml:space="preserve"> 93228</t>
  </si>
  <si>
    <t xml:space="preserve"> 93229</t>
  </si>
  <si>
    <t xml:space="preserve"> 93230</t>
  </si>
  <si>
    <t xml:space="preserve"> 93231</t>
  </si>
  <si>
    <t xml:space="preserve"> 93232</t>
  </si>
  <si>
    <t xml:space="preserve"> 93233</t>
  </si>
  <si>
    <t xml:space="preserve"> 93234</t>
  </si>
  <si>
    <t xml:space="preserve"> 93235</t>
  </si>
  <si>
    <t xml:space="preserve"> 93236</t>
  </si>
  <si>
    <t xml:space="preserve"> 93237</t>
  </si>
  <si>
    <t>AREIA MEDIA - POSTO JAZIDA/FORNECEDOR (RETIRADO NA JAZIDA, SEM TRANSPORTE)</t>
  </si>
  <si>
    <t>MEIO-FIO OU GUIA DE CONCRETO, PRE-MOLDADO, COMP 1 M, *30 X 15/ 12* CM (H X L1/L2)</t>
  </si>
  <si>
    <t>PEDREIRO COM ENCARGOS COMPLEMENTARES</t>
  </si>
  <si>
    <t>ARGAMASSA TRAÇO 1:3 (CIMENTO E AREIA MÉDIA), PREPARO MANUAL. AF_08/2014</t>
  </si>
  <si>
    <t>M3</t>
  </si>
  <si>
    <t>PECA DE MADEIRA NATIVA/REGIONAL 2,5 X 7,0 CM (SARRAFO-P/FORMA)</t>
  </si>
  <si>
    <t>TABUA MADEIRA 2A QUALIDADE 2,5 X 30,0CM (1 X 12") NAO APARELHADA</t>
  </si>
  <si>
    <t>CONCRETO USINADO BOMBEAVEL, CLASSE DE RESISTENCIA C20, COM BRITA 0 E 1, SLUMP = 100 +/- 20 MM, EXCLUI SERVICO DE BOMBEAMENTO (NBR 8953)</t>
  </si>
  <si>
    <t>CAL HIDRATADA PARA PINTURA</t>
  </si>
  <si>
    <t>PINTOR COM ENCARGOS COMPLEMENTARES</t>
  </si>
  <si>
    <t>11161</t>
  </si>
  <si>
    <t>88310</t>
  </si>
  <si>
    <t>AREIA GROSSA - POSTO JAZIDA/FORNECEDOR (RETIRADO NA JAZIDA, SEM TRANSPORTE)</t>
  </si>
  <si>
    <t>CIMENTO PORTLAND COMPOSTO CP II-32</t>
  </si>
  <si>
    <t>VIBROACABADORA DE ASFALTO SOBRE ESTEIRAS, LARGURA DE PAVIMENTAÇÃO 1,90 M A 5,30 M, POTÊNCIA 105 HP CAPACIDADE 450 T/H - CHP DIURNO. AF_11/2014</t>
  </si>
  <si>
    <t>VIBROACABADORA DE ASFALTO SOBRE ESTEIRAS, LARGURA DE PAVIMENTAÇÃO 1,90 M A 5,30 M, POTÊNCIA 105 HP CAPACIDADE 450 T/H - CHI DIURNO. AF_11/2014</t>
  </si>
  <si>
    <t>ROLO COMPACTADOR VIBRATÓRIO TANDEM AÇO LISO, POTÊNCIA 58 HP, PESO SEM/COM LASTRO 6,5 / 9,4 T, LARGURA DE TRABALHO 1,2 M - CHP DIURNO. AF_06/2014</t>
  </si>
  <si>
    <t>ROLO COMPACTADOR VIBRATÓRIO TANDEM AÇO LISO, POTÊNCIA 58 HP, PESO SEM/COM LASTRO 6,5 / 9,4 T, LARGURA DE TRABALHO 1,2 M - CHI DIURNO. AF_06/2014</t>
  </si>
  <si>
    <t>PÁ CARREGADEIRA SOBRE RODAS, POTÊNCIA LÍQUIDA 128 HP, CAPACIDADE DA CAÇAMBA 1,7 A 2,8 M3, PESO OPERACIONAL 11632 KG - CHP DIURNO. AF_06/2014</t>
  </si>
  <si>
    <t>PÁ CARREGADEIRA SOBRE RODAS, POTÊNCIA LÍQUIDA 128 HP, CAPACIDADE DA CAÇAMBA 1,7 A 2,8 M3, PESO OPERACIONAL 11632 KG - CHI DIURNO. AF_06/2014</t>
  </si>
  <si>
    <t>CIMENTO ASFALTICO DE PETROLEO A GRANEL (CAP) 50/70 (COLETADO CAIXA NA ANP ACRESCIDO DE ICMS)</t>
  </si>
  <si>
    <t>CAMINHÃO BASCULANTE 6 M3 TOCO, PESO BRUTO TOTAL 16.000 KG, CARGA ÚTIL MÁXIMA 11.130 KG, DISTÂNCIA ENTRE EIXOS 5,36 M, POTÊNCIA 185 CV, INCLUSIVE CAÇAMBA METÁLICA - CHP DIURNO. AF_06/2014</t>
  </si>
  <si>
    <t>CAMINHÃO BASCULANTE 6 M3 TOCO, PESO BRUTO TOTAL 16.000 KG, CARGA ÚTIL MÁXIMA 11.130 KG, DISTÂNCIA ENTRE EIXOS 5,36 M, POTÊNCIA 185 CV, INCLUSIVE CAÇAMBA METÁLICA - CHI DIURNO. AF_06/2014</t>
  </si>
  <si>
    <t>USINA DE MISTURA ASFÁLTICA À QUENTE, TIPO CONTRA FLUXO, PROD 40 A 80 TON/HORA - CHP DIURNO. AF_03/2016</t>
  </si>
  <si>
    <t>T</t>
  </si>
  <si>
    <t>367</t>
  </si>
  <si>
    <t>1379</t>
  </si>
  <si>
    <t>5835</t>
  </si>
  <si>
    <t>5837</t>
  </si>
  <si>
    <t>5867</t>
  </si>
  <si>
    <t>5869</t>
  </si>
  <si>
    <t>5940</t>
  </si>
  <si>
    <t>5942</t>
  </si>
  <si>
    <t>41899</t>
  </si>
  <si>
    <t>67826</t>
  </si>
  <si>
    <t>67827</t>
  </si>
  <si>
    <t>93433</t>
  </si>
  <si>
    <t xml:space="preserve">Preço Unitário </t>
  </si>
  <si>
    <t>und</t>
  </si>
  <si>
    <t>Locação da obra com Equipamento topografico</t>
  </si>
  <si>
    <t>SERVIÇOS EM TERRA</t>
  </si>
  <si>
    <t>2.4</t>
  </si>
  <si>
    <t>Reforço do subleito com material de jazida</t>
  </si>
  <si>
    <t>2.5</t>
  </si>
  <si>
    <t>Sub-base estabilizada granulometricamente com mistura de solos na pista com material de jazida</t>
  </si>
  <si>
    <t>Regularização do subleito</t>
  </si>
  <si>
    <t>2.3</t>
  </si>
  <si>
    <t>Transp. local c/ basc. 10m3 rodov. não pav (restr)</t>
  </si>
  <si>
    <t>tkm</t>
  </si>
  <si>
    <t>3.6</t>
  </si>
  <si>
    <t>3.7</t>
  </si>
  <si>
    <t>2.3.4</t>
  </si>
  <si>
    <t>Aquisição de cap 50/70</t>
  </si>
  <si>
    <t>t</t>
  </si>
  <si>
    <t>2.3.5</t>
  </si>
  <si>
    <t>Aquisição de asfalto diluído tipo cm 30</t>
  </si>
  <si>
    <t>2.3.6</t>
  </si>
  <si>
    <t>Aquisição de emulsão asfáltica rr-2c</t>
  </si>
  <si>
    <t>2.3.7</t>
  </si>
  <si>
    <t>Transporte de cap 50/70</t>
  </si>
  <si>
    <t>2.3.8</t>
  </si>
  <si>
    <t>Transporte de asfalto diluído tipo cm-30</t>
  </si>
  <si>
    <t>2.3.9</t>
  </si>
  <si>
    <t>Transporte de emulsão asfáltica (rr-2c)</t>
  </si>
  <si>
    <t>2.3.10</t>
  </si>
  <si>
    <t>2.3.11</t>
  </si>
  <si>
    <t>Pintura de ligação</t>
  </si>
  <si>
    <t>Concreto asfáltico</t>
  </si>
  <si>
    <t>MEMÓRIA DE CÁLCULO 01</t>
  </si>
  <si>
    <t>Placa indicativa da obra (4,80 x 3,00)</t>
  </si>
  <si>
    <t>Largura (m)</t>
  </si>
  <si>
    <t>Altura (m)</t>
  </si>
  <si>
    <t>Quantidade (und)</t>
  </si>
  <si>
    <t>x</t>
  </si>
  <si>
    <t>=</t>
  </si>
  <si>
    <t>Barracão de obras</t>
  </si>
  <si>
    <t>Taxas (Crea)</t>
  </si>
  <si>
    <t>un</t>
  </si>
  <si>
    <t>Taxas ( Prefeitura )</t>
  </si>
  <si>
    <t>MOVIMENTO DE TERRA</t>
  </si>
  <si>
    <t xml:space="preserve">Extensão </t>
  </si>
  <si>
    <t>2.1.1</t>
  </si>
  <si>
    <t>Escavação e carga de material de jazida</t>
  </si>
  <si>
    <t>Extensão (m)</t>
  </si>
  <si>
    <t>Área (m²)</t>
  </si>
  <si>
    <t>espessura da terraplenagem (m)</t>
  </si>
  <si>
    <t>2.1.2</t>
  </si>
  <si>
    <t>Transp. local c/ basc. 14m3 de rodov. pav, d.m.t. até 30 km</t>
  </si>
  <si>
    <t>Transformando o m³ em ton = (Resultado em m³ x peso específico)</t>
  </si>
  <si>
    <t>Compra, Esc. e Carga (m³)</t>
  </si>
  <si>
    <t>Peso específico</t>
  </si>
  <si>
    <t>Compra, Esc. e Carga (t)</t>
  </si>
  <si>
    <t>ton</t>
  </si>
  <si>
    <t>Empolamento (27%)</t>
  </si>
  <si>
    <t>DMT (km)</t>
  </si>
  <si>
    <t>X</t>
  </si>
  <si>
    <t>transporte (m³)</t>
  </si>
  <si>
    <t>txkm</t>
  </si>
  <si>
    <t>2.1.3</t>
  </si>
  <si>
    <t>Regularizacao  de subleito</t>
  </si>
  <si>
    <t>Área total (m²)</t>
  </si>
  <si>
    <t>2.1.4</t>
  </si>
  <si>
    <t>Compactação de aterro a 100% do proctor normal</t>
  </si>
  <si>
    <t>Base (m)</t>
  </si>
  <si>
    <t>Compactação (m²)</t>
  </si>
  <si>
    <t>2.1.5</t>
  </si>
  <si>
    <t>Espalhamento de material</t>
  </si>
  <si>
    <t>Ext. Total (m)</t>
  </si>
  <si>
    <t>Area Total (m²)</t>
  </si>
  <si>
    <t>2.1.6</t>
  </si>
  <si>
    <t>Área de escavação (m³)</t>
  </si>
  <si>
    <t>DRENAGEM SUPERFICIAL</t>
  </si>
  <si>
    <t>2.2.1</t>
  </si>
  <si>
    <t>Corpo bstc d=0,40m</t>
  </si>
  <si>
    <t>comprimento (m)</t>
  </si>
  <si>
    <t>quantidade de bueiros</t>
  </si>
  <si>
    <t>unidades</t>
  </si>
  <si>
    <t>Corpo de bueiro (m)</t>
  </si>
  <si>
    <t>2.2.2</t>
  </si>
  <si>
    <t>Boca bstc d=0,40 normal</t>
  </si>
  <si>
    <t>n.º de bueiros</t>
  </si>
  <si>
    <t>quantidade de bocas por bueiro</t>
  </si>
  <si>
    <t>Quantidade de bocas</t>
  </si>
  <si>
    <t>2.2.3</t>
  </si>
  <si>
    <t>Meio-fio (guia) de concreto pre-moldado, dimensões 10 x 12 x 30 x 100cm (face superior x face inferior x altura x comprimento), rejuntado c / argamassa 1:4 cimento:areia, incluindo escavação e reaterro.</t>
  </si>
  <si>
    <t xml:space="preserve">* Para meio-fio dos dois lados </t>
  </si>
  <si>
    <r>
      <rPr>
        <sz val="9"/>
        <color indexed="60"/>
        <rFont val="Calibri"/>
        <family val="2"/>
      </rPr>
      <t>Σ</t>
    </r>
    <r>
      <rPr>
        <i/>
        <sz val="9"/>
        <color indexed="60"/>
        <rFont val="Calibri"/>
        <family val="2"/>
      </rPr>
      <t>Extensão total do meio-fio (m)</t>
    </r>
  </si>
  <si>
    <t>lados</t>
  </si>
  <si>
    <t>PAVIMENTAÇÃO EM CBUQ</t>
  </si>
  <si>
    <t>2.3.1</t>
  </si>
  <si>
    <t>2.3.2</t>
  </si>
  <si>
    <t>Execução de sarjeta em  concreto simples larg 30, esp 8 cm</t>
  </si>
  <si>
    <t xml:space="preserve">* Para sarjeta dos dois lados </t>
  </si>
  <si>
    <r>
      <rPr>
        <sz val="9"/>
        <color indexed="60"/>
        <rFont val="Calibri"/>
        <family val="2"/>
      </rPr>
      <t>Σ</t>
    </r>
    <r>
      <rPr>
        <i/>
        <sz val="9"/>
        <color indexed="60"/>
        <rFont val="Calibri"/>
        <family val="2"/>
      </rPr>
      <t>Extensão total das sarjetas (m)</t>
    </r>
  </si>
  <si>
    <t>2.3.3</t>
  </si>
  <si>
    <t>espessura do asfalto</t>
  </si>
  <si>
    <t>Volume (m³)</t>
  </si>
  <si>
    <t>Densidade (t/m³)</t>
  </si>
  <si>
    <t>Consumo</t>
  </si>
  <si>
    <t>Aquisição de emulsão asfáltica (rr-2c)</t>
  </si>
  <si>
    <t>Densidade Areia Asfalto</t>
  </si>
  <si>
    <t xml:space="preserve"> COMP. PROPRIA 15 </t>
  </si>
  <si>
    <t>Próprio</t>
  </si>
  <si>
    <t>218,54</t>
  </si>
  <si>
    <t xml:space="preserve"> 007474 </t>
  </si>
  <si>
    <t>SBC</t>
  </si>
  <si>
    <t>2.1.1/3.1.1/4.1.1/5.1.1</t>
  </si>
  <si>
    <t>2.1.2/3.1.2/4.1.2/5.1.2</t>
  </si>
  <si>
    <t>0,00079</t>
  </si>
  <si>
    <t>2.1.3/3.1.3/4.1.3/5.1.3</t>
  </si>
  <si>
    <t>2.1.4/3.1.4/4.1.4/5.1.4</t>
  </si>
  <si>
    <t>3.2.2</t>
  </si>
  <si>
    <t>Sarjeta trapezoidal de concreto</t>
  </si>
  <si>
    <t xml:space="preserve">M101 </t>
  </si>
  <si>
    <t>Cimento Asfaltico CAP 50/70</t>
  </si>
  <si>
    <t>1 A 01 120 01</t>
  </si>
  <si>
    <t xml:space="preserve">Escavação e carga de materiais de jazida </t>
  </si>
  <si>
    <t>1 A 01 412 01</t>
  </si>
  <si>
    <t xml:space="preserve">Concreto fck=15 Mpa </t>
  </si>
  <si>
    <t>1 A 01 790 01</t>
  </si>
  <si>
    <t>Guia de madeira - 2,5 x 7,0 cm</t>
  </si>
  <si>
    <t>1 A 01 890 01</t>
  </si>
  <si>
    <t>Escavação manual em material de 1a categoria</t>
  </si>
  <si>
    <t>Transportes de Materiais Produzidos/Comerciais</t>
  </si>
  <si>
    <t xml:space="preserve"> 88629 </t>
  </si>
  <si>
    <t>ESCAVADEIRA HIDRÁULICA SOBRE ESTEIRAS, CAÇAMBA 0,80 M3, PESO OPERACIONAL 17 T, POTENCIA BRUTA 111 HP - CHP DIURNO. AF_06/2014</t>
  </si>
  <si>
    <t>ESCAVADEIRA HIDRÁULICA SOBRE ESTEIRAS, CAÇAMBA 0,80 M3, PESO OPERACIONAL 17 T, POTENCIA BRUTA 111 HP - CHI DIURNO. AF_06/2014</t>
  </si>
  <si>
    <t>3.2.1/4.2.2</t>
  </si>
  <si>
    <t>TUBO DE CONCRETO PARA REDES COLETORAS DE ÁGUAS PLUVIAIS, DIÂMETRO DE 600 MM</t>
  </si>
  <si>
    <t>1</t>
  </si>
  <si>
    <t>5631</t>
  </si>
  <si>
    <t>5632</t>
  </si>
  <si>
    <t>7774</t>
  </si>
  <si>
    <t>TUBO CONCRETO ARMADO, CLASSE EA-2, PB JE, DN 600 MM, PARA ESGOTO SANITARIO (NBR 8890)</t>
  </si>
  <si>
    <t>40343</t>
  </si>
  <si>
    <t>ANEL DE VEDACAO/JUNTA ELASTICA, H = *16* MM, PARA TUBO DE CONCRETO DN 600 MM</t>
  </si>
  <si>
    <t>88277</t>
  </si>
  <si>
    <t>MONTADOR (TUBO AÇO/EQUIPAMENTOS) COM ENCARGOS COMPLEMENTARES</t>
  </si>
  <si>
    <t>MAO DE OBRA</t>
  </si>
  <si>
    <t>4.2.3</t>
  </si>
  <si>
    <t>TUBO DE CONCRETO PARA REDES COLETORAS DE ÁGUAS PLUVIAIS, DIÂMETRO DE 800 MM</t>
  </si>
  <si>
    <t>TUBO CONCRETO ARMADO, CLASSE EA-2, PB JE, DN 800 MM, PARA ESGOTO SANITARIO (NBR 8890)</t>
  </si>
  <si>
    <t>73301</t>
  </si>
  <si>
    <t>ESCORAMENTO FORMAS ATE H = 3,30M, COM MADEIRA DE 3A QUALIDADE, NAO APARELHADA, APROVEITAMENTO TABUAS 3X E PRUMOS 4X.</t>
  </si>
  <si>
    <t>73361</t>
  </si>
  <si>
    <t>CONCRETO CICLOPICO FCK=10MPA 30% PEDRA DE MAO INCLUSIVE LANCAMENTO</t>
  </si>
  <si>
    <t>92411</t>
  </si>
  <si>
    <t>MONTAGEM E DESMONTAGEM DE FÔRMA DE PILARES RETANGULARES E ESTRUTURAS SIMILARES COM ÁREA MÉDIA DAS SEÇÕES MAIOR QUE 0,25 M², PÉ-DIREITO SIMPLES, EM MADEIRA SERRADA, 2 UTILIZAÇÕES. AF_12/2015</t>
  </si>
  <si>
    <t>M2</t>
  </si>
  <si>
    <t>93358</t>
  </si>
  <si>
    <t>3.2.3/4.2.5</t>
  </si>
  <si>
    <t>Boca BSTC, Diâmetro=0,60m - esc = 15</t>
  </si>
  <si>
    <t>4.2.6</t>
  </si>
  <si>
    <t>Boca BSTC, Diâmetro=0,80m - esc = 15</t>
  </si>
  <si>
    <t>3.2.4</t>
  </si>
  <si>
    <t>74166/002</t>
  </si>
  <si>
    <t>CAIXA DE INSPEÇÃO EM CONCRETO PRÉ-MOLDADO</t>
  </si>
  <si>
    <t>12530</t>
  </si>
  <si>
    <t>ANEL DE CONCRETO ARMADO, D = 0,60 M, H = 0,30 M</t>
  </si>
  <si>
    <t>MATERIAL</t>
  </si>
  <si>
    <t>13113</t>
  </si>
  <si>
    <t>ANEL DE CONCRETO ARMADO, D = 0,60 M, H = 0,10 M</t>
  </si>
  <si>
    <t>13114</t>
  </si>
  <si>
    <t>ANEL DE CONCRETO ARMADO, D = 0,60 M, H = 0,15 M</t>
  </si>
  <si>
    <t>87369</t>
  </si>
  <si>
    <t>ARGAMASSA TRAÇO 1:2:8 (CIMENTO, CAL E AREIA MÉDIA) PARA EMBOÇO/MASSA ÚNICA/ASSENTAMENTO DE ALVENARIA DE VEDAÇÃO, PREPARO MANUAL. AF_06/2014</t>
  </si>
  <si>
    <t>88309</t>
  </si>
  <si>
    <t>2.3.1/3.3.1/4.3.1/5.3.1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</si>
  <si>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</si>
  <si>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DROP - DRENAGEM/OBRAS DE CONTENÇÃO / POÇOS DE VISITA E CAIXAS</t>
  </si>
  <si>
    <t>31,21</t>
  </si>
  <si>
    <t>0,36</t>
  </si>
  <si>
    <t xml:space="preserve"> 88309 </t>
  </si>
  <si>
    <t>14,69</t>
  </si>
  <si>
    <t>342,18</t>
  </si>
  <si>
    <t xml:space="preserve"> 00004059 </t>
  </si>
  <si>
    <t>21,39</t>
  </si>
  <si>
    <t xml:space="preserve"> 00000370 </t>
  </si>
  <si>
    <t>25,00</t>
  </si>
  <si>
    <t>2.3.2/3.3.2/4.3.2/5.3.2</t>
  </si>
  <si>
    <t>EXECUÇÃO DE SARJETA DE CONCRETO USINADO, MOLDADA  IN LOCO  EM TRECHO CURVO, 30 CM BASE X 10 CM ALTURA. AF_06/2016</t>
  </si>
  <si>
    <t>0,691</t>
  </si>
  <si>
    <t xml:space="preserve"> 00006189 </t>
  </si>
  <si>
    <t>6,72</t>
  </si>
  <si>
    <t xml:space="preserve"> 00004517 </t>
  </si>
  <si>
    <t>0,95</t>
  </si>
  <si>
    <t xml:space="preserve"> 00034492 </t>
  </si>
  <si>
    <t>217,49</t>
  </si>
  <si>
    <t>2.3.9/3.3.10/4.3.9/5.3.9</t>
  </si>
  <si>
    <t>IMPRIMAÇÃO</t>
  </si>
  <si>
    <t>5839</t>
  </si>
  <si>
    <t>VASSOURA MECÂNICA REBOCÁVEL COM ESCOVA CILÍNDRICA, LARGURA ÚTIL DE VARRIMENTO DE 2,44 M - CHP DIURNO. AF_06/2014</t>
  </si>
  <si>
    <t>41901</t>
  </si>
  <si>
    <t>ASFALTO DILUIDO DE PETROLEO CM-30 (COLETADO CAIXA NA ANP ACRESCIDO DE ICMS)</t>
  </si>
  <si>
    <t>83362</t>
  </si>
  <si>
    <t>ESPARGIDOR DE ASFALTO PRESSURIZADO, TANQUE 6 M3 COM ISOLAÇÃO TÉRMICA, AQUECIDO COM 2 MAÇARICOS, COM BARRA ESPARGIDORA 3,60 M, MONTADO SOBRE CAMINHÃO  TOCO, PBT 14.300 KG, POTÊNCIA 185 CV - CHP DIURNO. AF_08/2015</t>
  </si>
  <si>
    <t>89035</t>
  </si>
  <si>
    <t>TRATOR DE PNEUS, POTÊNCIA 85 CV, TRAÇÃO 4X4, PESO COM LASTRO DE 4.675 KG - CHP DIURNO. AF_06/2014</t>
  </si>
  <si>
    <t>89036</t>
  </si>
  <si>
    <t>TRATOR DE PNEUS, POTÊNCIA 85 CV, TRAÇÃO 4X4, PESO COM LASTRO DE 4.675 KG - CHI DIURNO. AF_06/2014</t>
  </si>
  <si>
    <t>91486</t>
  </si>
  <si>
    <t>ESPARGIDOR DE ASFALTO PRESSURIZADO, TANQUE 6 M3 COM ISOLAÇÃO TÉRMICA, AQUECIDO COM 2 MAÇARICOS, COM BARRA ESPARGIDORA 3,60 M, MONTADO SOBRE CAMINHÃO  TOCO, PBT 14.300 KG, POTÊNCIA 185 CV - CHI DIURNO. AF_08/2015</t>
  </si>
  <si>
    <t>2.3.10/3.3.11/4.3.10/5.3.10</t>
  </si>
  <si>
    <t>PINTURA DE LIGAÇÃO</t>
  </si>
  <si>
    <t>41905</t>
  </si>
  <si>
    <t>EMULSAO ASFALTICA CATIONICA RR-1C PARA USO EM PAVIMENTACAO ASFALTICA (COLETADO CAIXA NA ANP ACRESCIDO DE ICMS)</t>
  </si>
  <si>
    <t>96013</t>
  </si>
  <si>
    <t>TRATOR DE PNEUS COM POTÊNCIA DE 122 CV, TRAÇÃO 4X4, COM VASSOURA MECÂNICA ACOPLADA - CHP DIURNO. AF_02/2017</t>
  </si>
  <si>
    <t>96014</t>
  </si>
  <si>
    <t>TRATOR DE PNEUS COM POTÊNCIA DE 122 CV, TRAÇÃO 4X4, COM VASSOURA MECÂNICA ACOPLADA - CHI DIURNO. AF_02/2017</t>
  </si>
  <si>
    <t>2.3.12/2.3.13/2.3.14/2.3.15</t>
  </si>
  <si>
    <t>TRANSPORTE DE MATERIAL PARA PAVIMENTAÇÃO</t>
  </si>
  <si>
    <t>1.2.8</t>
  </si>
  <si>
    <t>BARRACÃO PARA OBRAS DE MÉDIO PORTE REAPROVEITAMENTO 2X</t>
  </si>
  <si>
    <t>M²</t>
  </si>
  <si>
    <t>BARRACÃO PARA ESCRITÓRIO DE OBRA PORTE MÉDIO S=43,56M2 COM MATERIAIS NOVOS</t>
  </si>
  <si>
    <t>MOBILIZAÇÃO / INSTALAÇÕES PROVISÓRIAS / DESMOBILIZAÇÃO</t>
  </si>
  <si>
    <t>Proprio</t>
  </si>
  <si>
    <t>ADMINISTRAÇÃO DA OBRA</t>
  </si>
  <si>
    <t>VIGIA NOTURNO COM ENCARGOS COMPLEMENTARES</t>
  </si>
  <si>
    <t>AUXILIAR TÉCNICO DE ENGENHARIA COM ENCARGOS COMPLEMENTARES</t>
  </si>
  <si>
    <t>ENGENHEIRO CIVIL DE OBRA JUNIOR COM ENCARGOS COMPLEMENTARES</t>
  </si>
  <si>
    <t>ENCARREGADO GERAL COM ENCARGOS COMPLEMENTARES</t>
  </si>
  <si>
    <t>LIMPEZA MECANIZADA DE TERRENO COM REMOÇÃO DE CAMADA VEGETAL, UTILIZANDO MOTONIVELADORA</t>
  </si>
  <si>
    <t>Caminhão tanque com capacidade de 10.000 l - 188 kW</t>
  </si>
  <si>
    <t>Grade de 24 discos rebocável de D = 60 cm (24")</t>
  </si>
  <si>
    <t>Motoniveladora - 93 kW</t>
  </si>
  <si>
    <t>Rolo compactador de pneus autopropelido de 27 t - 85 kW</t>
  </si>
  <si>
    <t>Rolo compactador pé de carneiro vibratório autopropelido por pneus de</t>
  </si>
  <si>
    <t>Trator agrícola sobre pneus - 77 kW</t>
  </si>
  <si>
    <t>E9571</t>
  </si>
  <si>
    <t>E9518</t>
  </si>
  <si>
    <t>E9524</t>
  </si>
  <si>
    <t>E9762</t>
  </si>
  <si>
    <t>E9685</t>
  </si>
  <si>
    <t>E9577</t>
  </si>
  <si>
    <t>TEMPO FIXO</t>
  </si>
  <si>
    <t>Escavação e carga de material de jazida com escavadeira hidráulica de 1,56 m³</t>
  </si>
  <si>
    <t>Escavação e carga de material de jazida com escavadeira hidráulica de 1,56 m³ - Caminhão basculante 10 m³</t>
  </si>
  <si>
    <t>Custo do FIC</t>
  </si>
  <si>
    <t>P9824</t>
  </si>
  <si>
    <t>BASE SOLO ESTABILIZADO GRANUL. S/ MISTURA</t>
  </si>
  <si>
    <t>CHOR - CUSTO HORÁRIO PRODUTIVO DIURNO</t>
  </si>
  <si>
    <t>ROLO COMPACTADOR DE PNEUS, ESTATICO, PRESSAO VARIAVEL, POTENCIA 110 HP, PESO SEM/COM LASTRO 10,8/27 T, LARGURA DE ROLAGEM 2,30 M - CHP DIURNO. AF_06/2017</t>
  </si>
  <si>
    <t>CHOR - CUSTO HORÁRIO IMPRODUTIVO DIURNO</t>
  </si>
  <si>
    <t>SEDI - OUTROS</t>
  </si>
  <si>
    <t>ROLO COMPACTADOR VIBRATÓRIO PÉ DE CARNEIRO PARA SOLOS, POTÊNCIA 80 HP, PESO OPERACIONAL SEM/COM LASTRO 7,4 / 8,8 T, LARGURA DE TRABALHO 1,68 M - CHP DIURNO. AF_02/2016</t>
  </si>
  <si>
    <t>GRADE DE DISCO REBOCÁVEL COM 20 DISCOS 24" X 6 MM COM PNEUS PARA TRANSPORTE - CHP DIURNO. AF_06/2014</t>
  </si>
  <si>
    <t>GRADE DE DISCO REBOCÁVEL COM 20 DISCOS 24" X 6 MM COM PNEUS PARA TRANSPORTE - CHI DIURNO. AF_06/2014</t>
  </si>
  <si>
    <t>ROLO COMPACTADOR VIBRATÓRIO PÉ DE CARNEIRO PARA SOLOS, POTÊNCIA 80 HP, PESO OPERACIONAL SEM/COM LASTRO 7,4 / 8,8 T, LARGURA DE TRABALHO 1,68 M - CHI DIURNO. AF_02/2016</t>
  </si>
  <si>
    <t>ROLO COMPACTADOR DE PNEUS, ESTATICO, PRESSAO VARIAVEL, POTENCIA 110 HP, PESO SEM/COM LASTRO 10,8/27 T, LARGURA DE ROLAGEM 2,30 M - CHI DIURNO. AF_06/2017</t>
  </si>
  <si>
    <t xml:space="preserve">  </t>
  </si>
  <si>
    <t>ORÇAMENTO ANALÍTICO</t>
  </si>
  <si>
    <t>PESO</t>
  </si>
  <si>
    <t>Ref.</t>
  </si>
  <si>
    <t>SEM BDI</t>
  </si>
  <si>
    <t>COM BDI</t>
  </si>
  <si>
    <t xml:space="preserve">Código
 </t>
  </si>
  <si>
    <t>Valor</t>
  </si>
  <si>
    <t>ENC. SOCIAIS SEM DESONERAÇÃO - HORA =</t>
  </si>
  <si>
    <t>ENC. SOCIAIS SEM DESONERAÇÃO - MÊS =</t>
  </si>
  <si>
    <t>BDI=</t>
  </si>
  <si>
    <t>PROPOSTA SICONV Nº 001531/2020</t>
  </si>
  <si>
    <t>MINISTÉRIO DO DESENVOLVIMENTO REGIONAL (MDR) / CODEVASF</t>
  </si>
  <si>
    <t>local/implantação = NO MUNICÍPIO DE SANTO ANTÔNIO DOS LOPES  - MA</t>
  </si>
  <si>
    <t>proponente/proprietário = Prefeitura Municipal de Santo Antônio dos Lopes - Ma</t>
  </si>
  <si>
    <t>CONVÊNIO Nº 033506/2021</t>
  </si>
  <si>
    <t>h</t>
  </si>
  <si>
    <t>objeto/obra = PAVIMENTAÇÃO ASFÁLTICA EM CBUQ DE VIAS, COM MEIO-FIO E SARJETA</t>
  </si>
  <si>
    <t>1-PROJETO</t>
  </si>
  <si>
    <t>2- DA OBRA</t>
  </si>
  <si>
    <t>data / referência =  SICRO -ABRIL-2021 - SINAPI-SEM DESON-AGOSTO -2021 SICRO 2 11 2016</t>
  </si>
  <si>
    <t>1.5</t>
  </si>
  <si>
    <t>1.6</t>
  </si>
  <si>
    <t>1 - PROJETO</t>
  </si>
  <si>
    <t>2 - OBRA</t>
  </si>
  <si>
    <t>3 - TOTAL (1+2)</t>
  </si>
  <si>
    <t>BDI =</t>
  </si>
  <si>
    <t>RUAS</t>
  </si>
  <si>
    <t>RELAÇÃO DAS RUAS A SEREM BENEFICIADAS</t>
  </si>
  <si>
    <t>PLATAFORMA</t>
  </si>
  <si>
    <t>ÁREA (m²)</t>
  </si>
  <si>
    <t>LARG (m)</t>
  </si>
  <si>
    <t>COMP (m)</t>
  </si>
  <si>
    <t>TRECHO -01 (T-01) ===&gt; DUQUE DE CAXIAS</t>
  </si>
  <si>
    <t>TRECHO -03 (T-03) ===&gt;  ULTIMA RUA DO ELIZEU RAMOS</t>
  </si>
  <si>
    <t>TRECHO -02 (T-02) ===&gt; RUA DO CAMPO - LAGOA NOVA</t>
  </si>
  <si>
    <t>TOTAL GERAL ====&gt;</t>
  </si>
  <si>
    <t>LARGURA MÉDIA ====&gt;</t>
  </si>
  <si>
    <t xml:space="preserve">VALOR GLOBAL (R$) = </t>
  </si>
  <si>
    <t xml:space="preserve">R$ / Km = </t>
  </si>
  <si>
    <t xml:space="preserve"> ====&gt;</t>
  </si>
  <si>
    <t>CRONOGRAMA FÍSICO-FINANCEIRO / DESEMBOLSO</t>
  </si>
  <si>
    <t>PRAZOS EM METAS / ETAPAS / MESES / VIAS URBANAS</t>
  </si>
  <si>
    <t>VALOR C/ BDI (R$)</t>
  </si>
  <si>
    <t>PESO (%)</t>
  </si>
  <si>
    <t>ABRIL</t>
  </si>
  <si>
    <t>MAIO</t>
  </si>
  <si>
    <t>JUNHO</t>
  </si>
  <si>
    <t>JULHO</t>
  </si>
  <si>
    <t>AGOSTO</t>
  </si>
  <si>
    <t>SET</t>
  </si>
  <si>
    <t>OUT</t>
  </si>
  <si>
    <t>NOV</t>
  </si>
  <si>
    <t>1º</t>
  </si>
  <si>
    <t>2º</t>
  </si>
  <si>
    <t>3º</t>
  </si>
  <si>
    <t>PARCIAL</t>
  </si>
  <si>
    <t>Desemb.</t>
  </si>
  <si>
    <t>Desembolso</t>
  </si>
  <si>
    <t xml:space="preserve">Total Geral = . . . </t>
  </si>
  <si>
    <t xml:space="preserve">META 01 + META 02 = </t>
  </si>
  <si>
    <t xml:space="preserve">VALOR DA OBRA COM BDI (R$) = .  .  .  </t>
  </si>
  <si>
    <t>discriminação dos valores</t>
  </si>
  <si>
    <t>valor (R$)</t>
  </si>
  <si>
    <t>peso (%)</t>
  </si>
  <si>
    <t xml:space="preserve">   1 - Valor do Proponente / Proprietário (PREFEITURA MUNICIPAL)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</si>
  <si>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META 01 = ELABORAÇÃO DE PROJETO TÉCNICO EXECUTIVO</t>
  </si>
  <si>
    <t>META 02 = OBRA = PAVIMENTAÇÃO ASFÁLTICA EM CBUQ DE VIAS URBANAS, MEIO-FIO E SARJETA.</t>
  </si>
  <si>
    <t>MARÇO</t>
  </si>
  <si>
    <t>ANO = 2022</t>
  </si>
  <si>
    <t>COMPOSIÇÃO DE BDI (%) = f(rodovias e ferrovias)</t>
  </si>
  <si>
    <t>R$</t>
  </si>
  <si>
    <t>CURVA ABC</t>
  </si>
  <si>
    <t>COMP.AUX</t>
  </si>
  <si>
    <t>3.8</t>
  </si>
  <si>
    <t>3.9</t>
  </si>
  <si>
    <t>3.10</t>
  </si>
  <si>
    <t>3.11</t>
  </si>
  <si>
    <t>3.12</t>
  </si>
  <si>
    <t>3.13</t>
  </si>
  <si>
    <t>3.14</t>
  </si>
  <si>
    <t>3.15</t>
  </si>
  <si>
    <t>RELATÓRIO DE COMPOSIÇÕES DE CUSTOS UNITÁRIOS</t>
  </si>
  <si>
    <t>Ref :</t>
  </si>
  <si>
    <t>Moeda : R$</t>
  </si>
  <si>
    <t>UNIDADE</t>
  </si>
  <si>
    <t>COMPOSIÇÃO ANALÍTICA</t>
  </si>
  <si>
    <t xml:space="preserve">MÃO-DE-OBRA </t>
  </si>
  <si>
    <t>QTD</t>
  </si>
  <si>
    <t>CUSTO UNIT</t>
  </si>
  <si>
    <t>CUSTO TOTAL</t>
  </si>
  <si>
    <t>Carpinteiro de formas com encargos complementares</t>
  </si>
  <si>
    <t>Servente com encargos complementares</t>
  </si>
  <si>
    <t>Peça de madeira de lei 2,5x7,5cm (1x3"), não aparelhada</t>
  </si>
  <si>
    <t>Peça de madeira nativa/regional 7,5x7,5cm (3x3) não aparelhada</t>
  </si>
  <si>
    <t>Placa de obra (para construção civil) em chapa de aço galvanizada n22 , pintada</t>
  </si>
  <si>
    <t>prego polido com cabeça 18x30</t>
  </si>
  <si>
    <t>MÃO-DE-OBRA</t>
  </si>
  <si>
    <t>SERV. TERCEIRO</t>
  </si>
  <si>
    <t>RESUMO DA COMPOSIÇÃO</t>
  </si>
  <si>
    <t>UNID</t>
  </si>
  <si>
    <t>unidade:</t>
  </si>
  <si>
    <t>DIESEL (L)</t>
  </si>
  <si>
    <t>HORA</t>
  </si>
  <si>
    <t>KM</t>
  </si>
  <si>
    <t>1L</t>
  </si>
  <si>
    <t>1H</t>
  </si>
  <si>
    <t>Fonte</t>
  </si>
  <si>
    <t>Discriminação</t>
  </si>
  <si>
    <t>DISTÂNCIA (KM) - D</t>
  </si>
  <si>
    <t>TEMPO (H)</t>
  </si>
  <si>
    <t>CUSTO IMPRODUTIVO</t>
  </si>
  <si>
    <t>CUSTO TRANSPORTE R$</t>
  </si>
  <si>
    <t>CUSTO HORÁRIO</t>
  </si>
  <si>
    <t>01. EQUIPAMENTOS</t>
  </si>
  <si>
    <t>(und)</t>
  </si>
  <si>
    <t>(km)</t>
  </si>
  <si>
    <t>(h)</t>
  </si>
  <si>
    <t>(R$)</t>
  </si>
  <si>
    <t>SICRO</t>
  </si>
  <si>
    <t>E9541</t>
  </si>
  <si>
    <t>Trator de esteiras - com lãmina (259 kw)</t>
  </si>
  <si>
    <t>Motoniveladora  (103 kw)</t>
  </si>
  <si>
    <t>E9200</t>
  </si>
  <si>
    <t>Carregadeira de pneus</t>
  </si>
  <si>
    <t>E9579</t>
  </si>
  <si>
    <t>Caminhão basculante - 10m³ - 15t (170 kw)</t>
  </si>
  <si>
    <t>Caminhão tanque - 10.000 l</t>
  </si>
  <si>
    <t>Subtotal 1</t>
  </si>
  <si>
    <t>(qnt)</t>
  </si>
  <si>
    <t>P9956</t>
  </si>
  <si>
    <t>Motorista de Caminhão</t>
  </si>
  <si>
    <t>P9845</t>
  </si>
  <si>
    <t>Operador de Máquinas Pesadas</t>
  </si>
  <si>
    <t>Subtotal 2</t>
  </si>
  <si>
    <t>TOTAL (Sub1  + Sub2)</t>
  </si>
  <si>
    <t>Preço do óleo diese: R$ 4,61 / litro - SINAPI - MA 4221</t>
  </si>
  <si>
    <t>Preço do transporte de equipamento: R$ 3,00 / km - ORSE S03465</t>
  </si>
  <si>
    <t>OBS 1: Considera-se que o caminhão percorra 4,0 km com 1,0 litro de óleo diesel</t>
  </si>
  <si>
    <t>PESSOAL TÉCNICO E ADMINISTRATIVO</t>
  </si>
  <si>
    <t>Engenheiro civil senior com encargos complementares</t>
  </si>
  <si>
    <t>Encarregado de obra com encagos complementares</t>
  </si>
  <si>
    <t>DIVERSOS</t>
  </si>
  <si>
    <t>PLACA INDICATIVA DA OBRA (3,00 X 2,00)</t>
  </si>
  <si>
    <t>Auxiliar Técnico de engenharia com encargos complementares</t>
  </si>
  <si>
    <t>Crea/ma</t>
  </si>
  <si>
    <t>Taxa de ART (anotação de responsabilidade tecnica )</t>
  </si>
  <si>
    <t>Alas e Testas de Caixão de Aterro para Ponte de Madeira</t>
  </si>
  <si>
    <t>ATIVIDADES</t>
  </si>
  <si>
    <t>MINISTÉRIO DO DESENVOLVIMENTO REGIONAL (MDR) / CAIXA</t>
  </si>
  <si>
    <t xml:space="preserve">objeto/obra = RECUPERAÇÃO DE ESTRADAS VICINAIS </t>
  </si>
  <si>
    <t>PROPOSTA SICONV Nº 908618/2020</t>
  </si>
  <si>
    <t xml:space="preserve">CONVÊNIO Nº </t>
  </si>
  <si>
    <t>PROJETO BASÍCO DE RECUPERAÇÃO DE ESTRADAS VICINAIS</t>
  </si>
  <si>
    <t>OBRA: RECUPERAÇÃO DE ESTRADAS VICINAIS NO MUNICÍPIO DE SANTO ANTÔNIO DOS LOPES - MA</t>
  </si>
  <si>
    <t xml:space="preserve">   2 - Valor do Concedente / MINISTÉRIO DO DESENVOLVIMENTO REGIONAL (MDR) / CAIXA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</si>
  <si>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  3 - Valor Total deste Orçamento / Ação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</si>
  <si>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PREÇO TOTAL COM BDI</t>
  </si>
  <si>
    <t>SIMPLES ( % )</t>
  </si>
  <si>
    <t>ACUMULADO ( % )</t>
  </si>
  <si>
    <t>FAIXA</t>
  </si>
  <si>
    <t>QUADRO RESUMO</t>
  </si>
  <si>
    <t>DESCRIÇÃO DOS SERVIÇOS</t>
  </si>
  <si>
    <t>TOTAL GERAL</t>
  </si>
  <si>
    <t xml:space="preserve">Preço Data base: SINAPI - 08/2021 - Maranhão, SICRO - 04/2021 - Maranhão
</t>
  </si>
  <si>
    <t>PROJETO BÁSICO DE RECUPERAÇÃO DE ESTRADAS VICINAIS</t>
  </si>
  <si>
    <t>Objeto: Recuperação de estradas vicinais, no município de Santo Antônio dos Lopes - MA</t>
  </si>
  <si>
    <t>Ponte de Madeira ( 6,00 x 5,00 m )</t>
  </si>
  <si>
    <t xml:space="preserve">data / referência = SINAPI - DESON-AGOSTO - 2021 </t>
  </si>
  <si>
    <t>REGULARIZAÇÃO E COMPACTAÇÃO DE SOLO PREDOMINANTEMENTE ARGILOSO</t>
  </si>
  <si>
    <t>Desmobilização de Equipamentos</t>
  </si>
  <si>
    <t>Mobilização de Equpamentos</t>
  </si>
  <si>
    <t>OBRA DE ARTE ESPECIAL (PONTE)</t>
  </si>
  <si>
    <t>viga longitudinal em madeira (0,30x0,30) inclusive ferragem</t>
  </si>
  <si>
    <t>Tabuleiros em madeira de lei e=0,05m inclusive ferragem</t>
  </si>
  <si>
    <t>Passa rodas em Madeira de lei (0,05x0,40), inclusive ferragem</t>
  </si>
  <si>
    <t xml:space="preserve">MONTAGEM E DESMONTAGEM DE FÔRMA </t>
  </si>
  <si>
    <t>CONCRETO CICLÓPICO ( Pedra Argamassada )</t>
  </si>
  <si>
    <t>Rolo compactador pé de carneiro</t>
  </si>
  <si>
    <t>VALOR UNIT. ADOTADO DESON. (R$)</t>
  </si>
  <si>
    <t>VALOR TOTAL DESON. (R$)</t>
  </si>
  <si>
    <t xml:space="preserve">data / referência =  SICRO -ABRIL-2021 - SINAPI- DESON-AGOSTO -2021 </t>
  </si>
  <si>
    <t>VIGÊNCIA A PARTIR DE 10/2020 - Fonte: SINAPI / Caixa Econômica Federal</t>
  </si>
  <si>
    <t>mês</t>
  </si>
  <si>
    <t>5.0</t>
  </si>
  <si>
    <t>SERVIÇOS FINAIS</t>
  </si>
  <si>
    <t>5.1</t>
  </si>
  <si>
    <t>ENC. SOCIAIS DESONERADO - HORA =</t>
  </si>
  <si>
    <t>ENC. SOCIAIS DESONERADO - MÊS =</t>
  </si>
  <si>
    <t>Ajudante</t>
  </si>
  <si>
    <t>P9801</t>
  </si>
  <si>
    <t>DADOS</t>
  </si>
  <si>
    <t>TRECHOS</t>
  </si>
  <si>
    <t>EXTENSÃO ( metros )</t>
  </si>
  <si>
    <t>LARGURA DA VIA ( metros )</t>
  </si>
  <si>
    <t>ESTRADA DE ACESSO AO SANTA LUZIA A BOA VISTA</t>
  </si>
  <si>
    <t>ESTRADA DE ACESSO BOA VISTA A CAITITÚ</t>
  </si>
  <si>
    <t>COMPRIMENTO TOTAL DOS TRECHOS</t>
  </si>
  <si>
    <t>TAXAS</t>
  </si>
  <si>
    <t>Caminhão Basculante - 10 m3 - 15 t (210 kW)</t>
  </si>
  <si>
    <t>Valor Total =&gt;</t>
  </si>
  <si>
    <t>Caminhão basculante com capacidade de 14 m³ - 188 kW</t>
  </si>
  <si>
    <t>Escavadeira hidráulica sobre esteiras com caçamba com capacidade de 1,56 m³ - 118 Kw</t>
  </si>
  <si>
    <t>E9667</t>
  </si>
  <si>
    <t>E9515</t>
  </si>
  <si>
    <t>E9686</t>
  </si>
  <si>
    <t>Caminhão carroceria com guindauto com capacidade de 20 t.m - 136 kW</t>
  </si>
  <si>
    <t>Subtotal</t>
  </si>
  <si>
    <t>M2171</t>
  </si>
  <si>
    <t>Tubo de concreto armado PA1 - D = 0,80 m</t>
  </si>
  <si>
    <t>Custo Unitário total de material</t>
  </si>
  <si>
    <t>Argamassa de cimento e areia 1:4 - confecção em betoneira e lançamento manual - areia comercial</t>
  </si>
  <si>
    <t>Concreto ciclópico fck = 20 MPa - confecção em betoneira e lançamento manual - areia, brita e pedra de mão comerciais</t>
  </si>
  <si>
    <t>Fôrmas de tábuas de pinho para dispositivos de drenagem - utilização de 3 vezes - confecção, instalação e retirada</t>
  </si>
  <si>
    <t>Custo total de atividades auxiliares</t>
  </si>
  <si>
    <t>Tubo de concreto armado PA1 - D = 1,00 m</t>
  </si>
  <si>
    <t>M2175</t>
  </si>
  <si>
    <t>Concreto fck = 20 MPa - confecção em betoneira e lançamento manual - areia e brita comerciais</t>
  </si>
  <si>
    <t>Tubo de concreto armado PA1 - D = 0,60 m</t>
  </si>
  <si>
    <t>M2167</t>
  </si>
  <si>
    <t>Escavação, carga e transporte de material de 1ª categoria - DMT de 2.500 a 3.000 m - caminho de serviço em revestimento primário - com escavadeira e caminhão basculante de 14 m³</t>
  </si>
  <si>
    <r>
      <rPr>
        <b/>
        <sz val="9"/>
        <rFont val="Calibri"/>
        <family val="2"/>
        <scheme val="minor"/>
      </rPr>
      <t>OBS:</t>
    </r>
    <r>
      <rPr>
        <sz val="9"/>
        <rFont val="Calibri"/>
        <family val="2"/>
        <scheme val="minor"/>
      </rPr>
      <t xml:space="preserve"> QUANTIDADES RETIRADAS DO BANCOS DE DADOS ORSE , MAS PREÇOS RETIRADOS DO SINAPI.</t>
    </r>
  </si>
  <si>
    <r>
      <rPr>
        <b/>
        <sz val="10"/>
        <color theme="1"/>
        <rFont val="Times New Roman"/>
        <family val="1"/>
      </rPr>
      <t>OBS:</t>
    </r>
    <r>
      <rPr>
        <sz val="10"/>
        <color theme="1"/>
        <rFont val="Times New Roman"/>
        <family val="1"/>
      </rPr>
      <t xml:space="preserve"> Os materias e as atividades auxiliares não conseguimos  achar com os valores desonerados no sicro pois o mesmo nos fornece somente uma planilha não especificando se os valores são desonerados ou não desonerados</t>
    </r>
  </si>
  <si>
    <t>CONVÊNIO Nº 908618/2020</t>
  </si>
  <si>
    <t>OBS 1: Considera-se que o caminhão percorra 50,0 km em 1 hora (Velocidade média 50km/h)</t>
  </si>
  <si>
    <t>OBS 2: Distância considerando que as máquinas estão em um raio de 274,00 km</t>
  </si>
  <si>
    <t>5914359/sicro</t>
  </si>
  <si>
    <t>5502120/sicro</t>
  </si>
  <si>
    <t xml:space="preserve">data / referência = SINAPI - DESON-AGOSTO -2021, SICRO ABRIL DE 2021 </t>
  </si>
  <si>
    <t>0804293/SICRO</t>
  </si>
  <si>
    <t>0804189/SICRO</t>
  </si>
  <si>
    <t>804037/SICRO</t>
  </si>
  <si>
    <t>0804181/SICRO</t>
  </si>
  <si>
    <t>0804029/SICRO</t>
  </si>
  <si>
    <t>0804321/SICRO</t>
  </si>
  <si>
    <t>0804233/SICRO</t>
  </si>
  <si>
    <t>0804121/SICRO</t>
  </si>
  <si>
    <t>0804213/SICRO</t>
  </si>
  <si>
    <t>804101/SICRO</t>
  </si>
  <si>
    <t xml:space="preserve">Armação em Pilares em concreto armado D=40cm, e Fundações </t>
  </si>
  <si>
    <t>MONTAGEM E DESMONTAGEM DE FÔRMA DE PILARES E FUNDAÇÕES</t>
  </si>
  <si>
    <t>CONCRETAGEM DE PILARES E FUNDAÇÕES, FCK = 25 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</si>
</sst>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\ #,##0.00"/>
    <numFmt numFmtId="166" formatCode="#,##0.000"/>
    <numFmt numFmtId="167" formatCode="#,##0.0000"/>
    <numFmt numFmtId="168" formatCode="[$-416]mmm\-yy;@"/>
    <numFmt numFmtId="169" formatCode="0.0"/>
    <numFmt numFmtId="170" formatCode="0.00000"/>
    <numFmt numFmtId="171" formatCode="0.0000"/>
    <numFmt numFmtId="172" formatCode="_(* #,##0.000_);_(* \(#,##0.000\);_(* &quot;-&quot;??_);_(@_)"/>
    <numFmt numFmtId="173" formatCode="#,##0.000000000"/>
    <numFmt numFmtId="174" formatCode="#,##0.00000"/>
    <numFmt numFmtId="175" formatCode="0.000"/>
  </numFmts>
  <fonts count="9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rgb="FF000000"/>
      <name val="Calibri"/>
      <family val="2"/>
    </font>
    <font>
      <sz val="10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11"/>
      <color indexed="8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8"/>
      <color theme="1"/>
      <name val="Century Gothic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rgb="FF000000"/>
      <name val="Times New Roman"/>
      <family val="1"/>
    </font>
    <font>
      <sz val="8"/>
      <color indexed="8"/>
      <name val="Courier"/>
      <family val="3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Arial"/>
      <family val="2"/>
    </font>
    <font>
      <b/>
      <sz val="12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9"/>
      <color rgb="FF002060"/>
      <name val="Calibri"/>
      <family val="2"/>
    </font>
    <font>
      <i/>
      <sz val="9"/>
      <color rgb="FF002060"/>
      <name val="Calibri"/>
      <family val="2"/>
    </font>
    <font>
      <i/>
      <sz val="9"/>
      <color rgb="FFC00000"/>
      <name val="Calibri"/>
      <family val="2"/>
    </font>
    <font>
      <i/>
      <sz val="9"/>
      <color indexed="60"/>
      <name val="Calibri"/>
      <family val="2"/>
    </font>
    <font>
      <sz val="9"/>
      <color indexed="60"/>
      <name val="Calibri"/>
      <family val="2"/>
    </font>
    <font>
      <b/>
      <i/>
      <sz val="9"/>
      <color rgb="FFC00000"/>
      <name val="Calibri"/>
      <family val="2"/>
    </font>
    <font>
      <sz val="14"/>
      <color indexed="8"/>
      <name val="Times New Roman"/>
      <family val="1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i/>
      <u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u/>
      <sz val="11"/>
      <color theme="1"/>
      <name val="Calibri"/>
      <family val="2"/>
      <scheme val="minor"/>
    </font>
    <font>
      <b/>
      <i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i/>
      <u/>
      <sz val="7"/>
      <name val="Arial"/>
      <family val="2"/>
    </font>
    <font>
      <i/>
      <sz val="7"/>
      <name val="Arial"/>
      <family val="2"/>
    </font>
    <font>
      <b/>
      <sz val="20"/>
      <name val="Times New Roman"/>
      <family val="1"/>
    </font>
    <font>
      <sz val="1"/>
      <name val="Arial"/>
      <family val="2"/>
    </font>
    <font>
      <b/>
      <sz val="1"/>
      <name val="Arial"/>
      <family val="2"/>
    </font>
    <font>
      <b/>
      <i/>
      <sz val="1"/>
      <name val="Arial"/>
      <family val="2"/>
    </font>
    <font>
      <i/>
      <sz val="1"/>
      <name val="Arial"/>
      <family val="2"/>
    </font>
    <font>
      <b/>
      <sz val="16"/>
      <name val="Times New Roman"/>
      <family val="1"/>
    </font>
    <font>
      <b/>
      <sz val="9"/>
      <name val="Calibri"/>
      <family val="2"/>
      <scheme val="minor"/>
    </font>
    <font>
      <sz val="10"/>
      <color indexed="8"/>
      <name val="Arial"/>
      <family val="2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2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0" fontId="1" fillId="0" borderId="0"/>
    <xf numFmtId="9" fontId="26" fillId="0" borderId="0" applyFill="0" applyBorder="0" applyAlignment="0" applyProtection="0"/>
    <xf numFmtId="167" fontId="26" fillId="0" borderId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493">
    <xf numFmtId="0" fontId="0" fillId="0" borderId="0" xfId="0"/>
    <xf numFmtId="0" fontId="5" fillId="3" borderId="1" xfId="3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0" xfId="0" applyFont="1" applyBorder="1"/>
    <xf numFmtId="4" fontId="12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/>
    <xf numFmtId="0" fontId="10" fillId="2" borderId="0" xfId="0" applyFont="1" applyFill="1" applyBorder="1"/>
    <xf numFmtId="0" fontId="8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2" fontId="12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20" fillId="0" borderId="1" xfId="11" applyFont="1" applyBorder="1"/>
    <xf numFmtId="0" fontId="20" fillId="0" borderId="2" xfId="11" applyFont="1" applyBorder="1"/>
    <xf numFmtId="0" fontId="21" fillId="0" borderId="1" xfId="11" applyFont="1" applyBorder="1"/>
    <xf numFmtId="0" fontId="21" fillId="0" borderId="2" xfId="11" applyFont="1" applyBorder="1"/>
    <xf numFmtId="0" fontId="20" fillId="0" borderId="0" xfId="11" applyFont="1" applyBorder="1"/>
    <xf numFmtId="0" fontId="20" fillId="0" borderId="6" xfId="11" applyFont="1" applyBorder="1"/>
    <xf numFmtId="0" fontId="1" fillId="0" borderId="0" xfId="7" applyBorder="1"/>
    <xf numFmtId="0" fontId="20" fillId="0" borderId="3" xfId="11" applyFont="1" applyBorder="1"/>
    <xf numFmtId="0" fontId="20" fillId="0" borderId="4" xfId="11" applyFont="1" applyBorder="1"/>
    <xf numFmtId="0" fontId="1" fillId="0" borderId="3" xfId="11" applyBorder="1"/>
    <xf numFmtId="0" fontId="1" fillId="0" borderId="4" xfId="11" applyBorder="1"/>
    <xf numFmtId="0" fontId="1" fillId="0" borderId="3" xfId="7" applyBorder="1"/>
    <xf numFmtId="0" fontId="1" fillId="0" borderId="4" xfId="7" applyBorder="1"/>
    <xf numFmtId="0" fontId="1" fillId="0" borderId="0" xfId="7" applyFont="1" applyBorder="1"/>
    <xf numFmtId="0" fontId="1" fillId="0" borderId="0" xfId="7"/>
    <xf numFmtId="4" fontId="1" fillId="0" borderId="0" xfId="7" applyNumberFormat="1" applyFont="1" applyFill="1" applyAlignment="1">
      <alignment horizontal="right" vertical="center"/>
    </xf>
    <xf numFmtId="0" fontId="1" fillId="0" borderId="0" xfId="7" applyFont="1"/>
    <xf numFmtId="0" fontId="3" fillId="0" borderId="12" xfId="0" applyFont="1" applyBorder="1" applyAlignment="1">
      <alignment horizontal="center" vertical="center"/>
    </xf>
    <xf numFmtId="0" fontId="0" fillId="0" borderId="0" xfId="0"/>
    <xf numFmtId="4" fontId="12" fillId="0" borderId="1" xfId="0" applyNumberFormat="1" applyFont="1" applyBorder="1" applyAlignment="1">
      <alignment horizontal="center" vertical="center"/>
    </xf>
    <xf numFmtId="0" fontId="0" fillId="0" borderId="0" xfId="0"/>
    <xf numFmtId="2" fontId="27" fillId="6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5" fontId="6" fillId="0" borderId="0" xfId="0" applyNumberFormat="1" applyFont="1" applyBorder="1" applyAlignme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7" fillId="6" borderId="0" xfId="0" applyFont="1" applyFill="1" applyAlignment="1">
      <alignment horizontal="right" wrapText="1"/>
    </xf>
    <xf numFmtId="0" fontId="27" fillId="6" borderId="1" xfId="0" applyFont="1" applyFill="1" applyBorder="1" applyAlignment="1">
      <alignment wrapText="1"/>
    </xf>
    <xf numFmtId="0" fontId="27" fillId="6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7" fillId="6" borderId="1" xfId="0" applyFont="1" applyFill="1" applyBorder="1" applyAlignment="1">
      <alignment vertical="top" wrapText="1"/>
    </xf>
    <xf numFmtId="4" fontId="27" fillId="6" borderId="1" xfId="0" applyNumberFormat="1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/>
    </xf>
    <xf numFmtId="0" fontId="0" fillId="0" borderId="0" xfId="0" applyBorder="1"/>
    <xf numFmtId="0" fontId="27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7" fillId="2" borderId="14" xfId="6" applyFont="1" applyFill="1" applyBorder="1" applyAlignment="1">
      <alignment horizontal="left" vertical="center"/>
    </xf>
    <xf numFmtId="0" fontId="8" fillId="2" borderId="15" xfId="6" applyFont="1" applyFill="1" applyBorder="1" applyAlignment="1">
      <alignment horizontal="center" vertical="center"/>
    </xf>
    <xf numFmtId="0" fontId="8" fillId="2" borderId="15" xfId="7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0" fontId="7" fillId="2" borderId="15" xfId="5" applyNumberFormat="1" applyFont="1" applyFill="1" applyBorder="1" applyAlignment="1">
      <alignment horizontal="center" vertical="center"/>
    </xf>
    <xf numFmtId="0" fontId="7" fillId="2" borderId="17" xfId="6" applyFont="1" applyFill="1" applyBorder="1" applyAlignment="1">
      <alignment horizontal="left" vertical="center"/>
    </xf>
    <xf numFmtId="10" fontId="7" fillId="2" borderId="0" xfId="5" applyNumberFormat="1" applyFont="1" applyFill="1" applyBorder="1" applyAlignment="1">
      <alignment horizontal="center" vertical="center"/>
    </xf>
    <xf numFmtId="168" fontId="7" fillId="2" borderId="0" xfId="8" quotePrefix="1" applyNumberFormat="1" applyFont="1" applyFill="1" applyBorder="1" applyAlignment="1">
      <alignment horizontal="center" vertical="center"/>
    </xf>
    <xf numFmtId="10" fontId="7" fillId="2" borderId="0" xfId="8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17" xfId="7" applyFont="1" applyFill="1" applyBorder="1" applyAlignment="1">
      <alignment horizontal="left" vertical="center"/>
    </xf>
    <xf numFmtId="0" fontId="7" fillId="2" borderId="0" xfId="7" applyFont="1" applyFill="1" applyBorder="1" applyAlignment="1">
      <alignment horizontal="center" vertical="center"/>
    </xf>
    <xf numFmtId="0" fontId="7" fillId="2" borderId="0" xfId="6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44" fontId="29" fillId="0" borderId="1" xfId="0" applyNumberFormat="1" applyFont="1" applyFill="1" applyBorder="1" applyAlignment="1">
      <alignment horizontal="center" vertical="center" wrapText="1"/>
    </xf>
    <xf numFmtId="4" fontId="29" fillId="0" borderId="3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4" fontId="29" fillId="0" borderId="1" xfId="0" applyNumberFormat="1" applyFont="1" applyFill="1" applyBorder="1" applyAlignment="1">
      <alignment horizontal="center" vertical="center" wrapText="1"/>
    </xf>
    <xf numFmtId="2" fontId="29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9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2" fillId="0" borderId="38" xfId="0" applyFont="1" applyBorder="1"/>
    <xf numFmtId="0" fontId="12" fillId="0" borderId="1" xfId="0" applyFont="1" applyBorder="1"/>
    <xf numFmtId="165" fontId="11" fillId="0" borderId="1" xfId="0" applyNumberFormat="1" applyFont="1" applyBorder="1" applyAlignment="1">
      <alignment vertical="center" wrapText="1"/>
    </xf>
    <xf numFmtId="0" fontId="12" fillId="0" borderId="1" xfId="0" applyFont="1" applyBorder="1"/>
    <xf numFmtId="4" fontId="12" fillId="0" borderId="39" xfId="0" applyNumberFormat="1" applyFont="1" applyBorder="1" applyAlignment="1">
      <alignment horizontal="center" vertical="center"/>
    </xf>
    <xf numFmtId="0" fontId="5" fillId="3" borderId="1" xfId="3" applyFont="1" applyFill="1" applyBorder="1" applyAlignment="1">
      <alignment horizontal="left" vertical="center" wrapText="1"/>
    </xf>
    <xf numFmtId="166" fontId="5" fillId="3" borderId="1" xfId="3" applyNumberFormat="1" applyFont="1" applyFill="1" applyBorder="1" applyAlignment="1">
      <alignment horizontal="center" vertical="center" wrapText="1"/>
    </xf>
    <xf numFmtId="0" fontId="12" fillId="0" borderId="51" xfId="0" applyFont="1" applyBorder="1"/>
    <xf numFmtId="0" fontId="12" fillId="0" borderId="7" xfId="0" applyFont="1" applyBorder="1"/>
    <xf numFmtId="0" fontId="12" fillId="0" borderId="52" xfId="0" applyFont="1" applyBorder="1"/>
    <xf numFmtId="0" fontId="11" fillId="4" borderId="38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39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/>
    </xf>
    <xf numFmtId="0" fontId="0" fillId="0" borderId="39" xfId="0" applyBorder="1"/>
    <xf numFmtId="0" fontId="29" fillId="2" borderId="1" xfId="0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4" fontId="5" fillId="0" borderId="1" xfId="3" applyNumberFormat="1" applyFont="1" applyFill="1" applyBorder="1" applyAlignment="1">
      <alignment horizontal="center" vertical="center" wrapText="1"/>
    </xf>
    <xf numFmtId="10" fontId="29" fillId="0" borderId="1" xfId="0" applyNumberFormat="1" applyFont="1" applyFill="1" applyBorder="1" applyAlignment="1">
      <alignment horizontal="center" vertical="center" wrapText="1"/>
    </xf>
    <xf numFmtId="4" fontId="5" fillId="0" borderId="2" xfId="3" applyNumberFormat="1" applyFont="1" applyFill="1" applyBorder="1" applyAlignment="1">
      <alignment vertical="center" wrapText="1"/>
    </xf>
    <xf numFmtId="4" fontId="5" fillId="0" borderId="1" xfId="3" applyNumberFormat="1" applyFont="1" applyFill="1" applyBorder="1" applyAlignment="1">
      <alignment vertical="center" wrapText="1"/>
    </xf>
    <xf numFmtId="0" fontId="0" fillId="0" borderId="50" xfId="0" applyBorder="1"/>
    <xf numFmtId="0" fontId="12" fillId="0" borderId="1" xfId="0" applyFont="1" applyBorder="1" applyAlignment="1"/>
    <xf numFmtId="0" fontId="0" fillId="0" borderId="9" xfId="0" applyBorder="1"/>
    <xf numFmtId="0" fontId="0" fillId="0" borderId="53" xfId="0" applyBorder="1"/>
    <xf numFmtId="0" fontId="12" fillId="0" borderId="1" xfId="0" applyFont="1" applyBorder="1" applyAlignment="1">
      <alignment horizontal="left" vertical="center"/>
    </xf>
    <xf numFmtId="0" fontId="32" fillId="0" borderId="1" xfId="0" applyFont="1" applyBorder="1"/>
    <xf numFmtId="2" fontId="32" fillId="0" borderId="1" xfId="0" applyNumberFormat="1" applyFont="1" applyBorder="1" applyAlignment="1">
      <alignment horizontal="center" vertical="center"/>
    </xf>
    <xf numFmtId="4" fontId="32" fillId="0" borderId="1" xfId="0" applyNumberFormat="1" applyFont="1" applyBorder="1" applyAlignment="1">
      <alignment horizontal="center" vertical="center"/>
    </xf>
    <xf numFmtId="4" fontId="5" fillId="3" borderId="1" xfId="3" applyNumberFormat="1" applyFont="1" applyFill="1" applyBorder="1" applyAlignment="1">
      <alignment horizontal="center" vertical="center" wrapText="1"/>
    </xf>
    <xf numFmtId="0" fontId="32" fillId="0" borderId="0" xfId="0" applyFont="1"/>
    <xf numFmtId="0" fontId="3" fillId="0" borderId="38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4" fillId="0" borderId="1" xfId="3" applyFont="1" applyFill="1" applyBorder="1" applyAlignment="1">
      <alignment horizontal="center" vertical="center" wrapText="1"/>
    </xf>
    <xf numFmtId="4" fontId="34" fillId="0" borderId="1" xfId="3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wrapText="1"/>
    </xf>
    <xf numFmtId="0" fontId="12" fillId="0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top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top"/>
    </xf>
    <xf numFmtId="0" fontId="7" fillId="4" borderId="2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 wrapText="1"/>
    </xf>
    <xf numFmtId="2" fontId="0" fillId="0" borderId="17" xfId="0" applyNumberFormat="1" applyBorder="1"/>
    <xf numFmtId="165" fontId="12" fillId="0" borderId="2" xfId="0" applyNumberFormat="1" applyFont="1" applyBorder="1" applyAlignment="1">
      <alignment horizontal="center" vertical="center"/>
    </xf>
    <xf numFmtId="0" fontId="0" fillId="0" borderId="17" xfId="0" applyBorder="1"/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7" applyFont="1" applyFill="1" applyBorder="1" applyAlignment="1">
      <alignment horizontal="left" vertical="center"/>
    </xf>
    <xf numFmtId="0" fontId="7" fillId="2" borderId="20" xfId="7" applyFont="1" applyFill="1" applyBorder="1" applyAlignment="1">
      <alignment horizontal="center" vertical="center"/>
    </xf>
    <xf numFmtId="0" fontId="8" fillId="2" borderId="20" xfId="7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wrapText="1"/>
    </xf>
    <xf numFmtId="0" fontId="16" fillId="0" borderId="0" xfId="0" applyFont="1"/>
    <xf numFmtId="0" fontId="12" fillId="0" borderId="1" xfId="0" applyFont="1" applyBorder="1"/>
    <xf numFmtId="0" fontId="11" fillId="0" borderId="38" xfId="0" applyFont="1" applyBorder="1" applyAlignment="1">
      <alignment horizontal="left" vertical="center"/>
    </xf>
    <xf numFmtId="0" fontId="11" fillId="0" borderId="3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4" fontId="9" fillId="0" borderId="5" xfId="0" applyNumberFormat="1" applyFont="1" applyBorder="1" applyAlignment="1">
      <alignment horizontal="center" vertical="center"/>
    </xf>
    <xf numFmtId="4" fontId="37" fillId="3" borderId="1" xfId="3" applyNumberFormat="1" applyFont="1" applyFill="1" applyBorder="1" applyAlignment="1">
      <alignment horizontal="center" vertical="center" wrapText="1"/>
    </xf>
    <xf numFmtId="166" fontId="37" fillId="3" borderId="1" xfId="3" applyNumberFormat="1" applyFont="1" applyFill="1" applyBorder="1" applyAlignment="1">
      <alignment horizontal="center" vertical="center" wrapText="1"/>
    </xf>
    <xf numFmtId="0" fontId="37" fillId="3" borderId="1" xfId="3" applyFont="1" applyFill="1" applyBorder="1" applyAlignment="1">
      <alignment horizontal="left" vertical="center" wrapText="1"/>
    </xf>
    <xf numFmtId="0" fontId="37" fillId="3" borderId="1" xfId="3" applyFont="1" applyFill="1" applyBorder="1" applyAlignment="1">
      <alignment horizontal="center" vertical="center" wrapText="1"/>
    </xf>
    <xf numFmtId="0" fontId="37" fillId="3" borderId="4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2" fontId="0" fillId="0" borderId="0" xfId="0" applyNumberFormat="1" applyBorder="1"/>
    <xf numFmtId="4" fontId="7" fillId="0" borderId="39" xfId="0" applyNumberFormat="1" applyFont="1" applyFill="1" applyBorder="1" applyAlignment="1">
      <alignment horizontal="right" vertical="top" wrapText="1"/>
    </xf>
    <xf numFmtId="0" fontId="39" fillId="0" borderId="1" xfId="0" applyFont="1" applyBorder="1" applyAlignment="1">
      <alignment vertical="center"/>
    </xf>
    <xf numFmtId="0" fontId="14" fillId="0" borderId="0" xfId="7" applyFont="1" applyBorder="1" applyAlignment="1">
      <alignment vertical="top"/>
    </xf>
    <xf numFmtId="0" fontId="9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" fontId="7" fillId="0" borderId="54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horizontal="center" vertical="center"/>
    </xf>
    <xf numFmtId="4" fontId="9" fillId="0" borderId="39" xfId="0" applyNumberFormat="1" applyFont="1" applyBorder="1" applyAlignment="1">
      <alignment horizontal="center" vertical="center"/>
    </xf>
    <xf numFmtId="0" fontId="31" fillId="3" borderId="1" xfId="3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12" fillId="0" borderId="12" xfId="0" applyFont="1" applyBorder="1"/>
    <xf numFmtId="0" fontId="36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6" fillId="0" borderId="12" xfId="0" applyFont="1" applyBorder="1" applyAlignment="1">
      <alignment wrapText="1"/>
    </xf>
    <xf numFmtId="0" fontId="12" fillId="0" borderId="0" xfId="0" applyFont="1" applyBorder="1"/>
    <xf numFmtId="0" fontId="12" fillId="0" borderId="9" xfId="0" applyFont="1" applyBorder="1"/>
    <xf numFmtId="165" fontId="0" fillId="0" borderId="39" xfId="0" applyNumberFormat="1" applyBorder="1" applyAlignment="1">
      <alignment horizontal="center"/>
    </xf>
    <xf numFmtId="165" fontId="12" fillId="0" borderId="39" xfId="0" applyNumberFormat="1" applyFont="1" applyBorder="1" applyAlignment="1">
      <alignment horizontal="center" vertical="center"/>
    </xf>
    <xf numFmtId="0" fontId="0" fillId="0" borderId="18" xfId="0" applyBorder="1"/>
    <xf numFmtId="4" fontId="0" fillId="0" borderId="39" xfId="0" applyNumberForma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12" xfId="0" applyFont="1" applyBorder="1" applyAlignment="1">
      <alignment wrapText="1"/>
    </xf>
    <xf numFmtId="0" fontId="8" fillId="0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/>
    </xf>
    <xf numFmtId="0" fontId="12" fillId="0" borderId="12" xfId="0" applyFont="1" applyBorder="1" applyAlignment="1">
      <alignment wrapText="1"/>
    </xf>
    <xf numFmtId="0" fontId="29" fillId="0" borderId="12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0" fontId="0" fillId="0" borderId="0" xfId="0" applyNumberFormat="1"/>
    <xf numFmtId="0" fontId="40" fillId="0" borderId="1" xfId="0" applyFont="1" applyBorder="1" applyAlignment="1">
      <alignment horizontal="center" vertical="center"/>
    </xf>
    <xf numFmtId="0" fontId="42" fillId="0" borderId="17" xfId="15" applyFont="1" applyBorder="1" applyAlignment="1">
      <alignment vertical="center"/>
    </xf>
    <xf numFmtId="0" fontId="42" fillId="0" borderId="0" xfId="15" applyFont="1" applyAlignment="1">
      <alignment vertical="center"/>
    </xf>
    <xf numFmtId="0" fontId="42" fillId="0" borderId="18" xfId="15" applyFont="1" applyBorder="1" applyAlignment="1">
      <alignment vertical="center"/>
    </xf>
    <xf numFmtId="0" fontId="43" fillId="10" borderId="17" xfId="15" applyFont="1" applyFill="1" applyBorder="1" applyAlignment="1">
      <alignment horizontal="center" vertical="center"/>
    </xf>
    <xf numFmtId="0" fontId="43" fillId="10" borderId="0" xfId="15" applyFont="1" applyFill="1" applyAlignment="1">
      <alignment vertical="center"/>
    </xf>
    <xf numFmtId="0" fontId="42" fillId="10" borderId="0" xfId="15" applyFont="1" applyFill="1" applyAlignment="1">
      <alignment vertical="center"/>
    </xf>
    <xf numFmtId="0" fontId="42" fillId="10" borderId="18" xfId="15" applyFont="1" applyFill="1" applyBorder="1" applyAlignment="1">
      <alignment vertical="center"/>
    </xf>
    <xf numFmtId="0" fontId="42" fillId="0" borderId="17" xfId="15" applyFont="1" applyBorder="1" applyAlignment="1">
      <alignment horizontal="center" vertical="center"/>
    </xf>
    <xf numFmtId="0" fontId="43" fillId="0" borderId="17" xfId="15" applyFont="1" applyBorder="1" applyAlignment="1">
      <alignment horizontal="center" vertical="center"/>
    </xf>
    <xf numFmtId="0" fontId="43" fillId="0" borderId="0" xfId="15" applyFont="1" applyAlignment="1">
      <alignment vertical="center"/>
    </xf>
    <xf numFmtId="0" fontId="42" fillId="0" borderId="0" xfId="15" applyFont="1" applyAlignment="1">
      <alignment horizontal="center" vertical="center"/>
    </xf>
    <xf numFmtId="2" fontId="42" fillId="0" borderId="0" xfId="15" applyNumberFormat="1" applyFont="1" applyAlignment="1">
      <alignment horizontal="center" vertical="center"/>
    </xf>
    <xf numFmtId="49" fontId="42" fillId="0" borderId="0" xfId="15" applyNumberFormat="1" applyFont="1" applyAlignment="1">
      <alignment horizontal="center" vertical="center"/>
    </xf>
    <xf numFmtId="49" fontId="42" fillId="0" borderId="18" xfId="15" applyNumberFormat="1" applyFont="1" applyBorder="1" applyAlignment="1">
      <alignment horizontal="center" vertical="center"/>
    </xf>
    <xf numFmtId="2" fontId="43" fillId="9" borderId="0" xfId="15" applyNumberFormat="1" applyFont="1" applyFill="1" applyAlignment="1">
      <alignment horizontal="center" vertical="center"/>
    </xf>
    <xf numFmtId="0" fontId="43" fillId="9" borderId="18" xfId="15" applyFont="1" applyFill="1" applyBorder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18" xfId="0" applyFont="1" applyBorder="1" applyAlignment="1">
      <alignment vertical="center"/>
    </xf>
    <xf numFmtId="2" fontId="42" fillId="0" borderId="0" xfId="0" applyNumberFormat="1" applyFont="1" applyAlignment="1">
      <alignment horizontal="center" vertical="center"/>
    </xf>
    <xf numFmtId="49" fontId="42" fillId="0" borderId="18" xfId="0" applyNumberFormat="1" applyFont="1" applyBorder="1" applyAlignment="1">
      <alignment horizontal="center" vertical="center"/>
    </xf>
    <xf numFmtId="2" fontId="43" fillId="9" borderId="0" xfId="0" applyNumberFormat="1" applyFont="1" applyFill="1" applyAlignment="1">
      <alignment horizontal="center" vertical="center"/>
    </xf>
    <xf numFmtId="0" fontId="43" fillId="9" borderId="18" xfId="0" applyFont="1" applyFill="1" applyBorder="1" applyAlignment="1">
      <alignment vertical="center"/>
    </xf>
    <xf numFmtId="0" fontId="42" fillId="0" borderId="0" xfId="15" applyFont="1"/>
    <xf numFmtId="0" fontId="42" fillId="0" borderId="18" xfId="15" applyFont="1" applyBorder="1"/>
    <xf numFmtId="0" fontId="43" fillId="9" borderId="0" xfId="15" applyFont="1" applyFill="1" applyAlignment="1">
      <alignment horizontal="center" vertical="center"/>
    </xf>
    <xf numFmtId="0" fontId="44" fillId="0" borderId="0" xfId="15" applyFont="1" applyAlignment="1">
      <alignment vertical="center"/>
    </xf>
    <xf numFmtId="0" fontId="45" fillId="0" borderId="0" xfId="15" applyFont="1" applyAlignment="1">
      <alignment horizontal="right" vertical="center"/>
    </xf>
    <xf numFmtId="49" fontId="45" fillId="0" borderId="0" xfId="15" applyNumberFormat="1" applyFont="1" applyAlignment="1">
      <alignment horizontal="center" vertical="center"/>
    </xf>
    <xf numFmtId="4" fontId="45" fillId="0" borderId="0" xfId="15" applyNumberFormat="1" applyFont="1" applyAlignment="1">
      <alignment horizontal="center" vertical="center"/>
    </xf>
    <xf numFmtId="0" fontId="45" fillId="0" borderId="0" xfId="15" applyFont="1" applyAlignment="1">
      <alignment vertical="center"/>
    </xf>
    <xf numFmtId="0" fontId="42" fillId="0" borderId="18" xfId="15" applyFont="1" applyBorder="1" applyAlignment="1">
      <alignment horizontal="left" vertical="center"/>
    </xf>
    <xf numFmtId="169" fontId="42" fillId="0" borderId="0" xfId="15" applyNumberFormat="1" applyFont="1" applyAlignment="1">
      <alignment horizontal="center" vertical="center"/>
    </xf>
    <xf numFmtId="0" fontId="42" fillId="0" borderId="18" xfId="15" applyFont="1" applyBorder="1" applyAlignment="1">
      <alignment horizontal="center" vertical="center"/>
    </xf>
    <xf numFmtId="0" fontId="43" fillId="9" borderId="18" xfId="15" applyFont="1" applyFill="1" applyBorder="1" applyAlignment="1">
      <alignment horizontal="center" vertical="center"/>
    </xf>
    <xf numFmtId="0" fontId="42" fillId="0" borderId="0" xfId="15" applyFont="1" applyAlignment="1">
      <alignment horizontal="right" vertical="center"/>
    </xf>
    <xf numFmtId="2" fontId="42" fillId="0" borderId="0" xfId="15" applyNumberFormat="1" applyFont="1" applyAlignment="1">
      <alignment horizontal="right" vertical="center"/>
    </xf>
    <xf numFmtId="2" fontId="42" fillId="0" borderId="0" xfId="15" applyNumberFormat="1" applyFont="1" applyAlignment="1">
      <alignment vertical="center"/>
    </xf>
    <xf numFmtId="2" fontId="42" fillId="0" borderId="17" xfId="15" applyNumberFormat="1" applyFont="1" applyBorder="1" applyAlignment="1">
      <alignment vertical="center"/>
    </xf>
    <xf numFmtId="4" fontId="43" fillId="9" borderId="0" xfId="15" applyNumberFormat="1" applyFont="1" applyFill="1" applyAlignment="1">
      <alignment horizontal="center" vertical="center"/>
    </xf>
    <xf numFmtId="0" fontId="42" fillId="0" borderId="0" xfId="15" applyFont="1" applyAlignment="1">
      <alignment horizontal="left" vertical="center"/>
    </xf>
    <xf numFmtId="2" fontId="43" fillId="11" borderId="0" xfId="15" applyNumberFormat="1" applyFont="1" applyFill="1" applyAlignment="1">
      <alignment horizontal="center" vertical="center"/>
    </xf>
    <xf numFmtId="2" fontId="43" fillId="10" borderId="0" xfId="15" applyNumberFormat="1" applyFont="1" applyFill="1" applyAlignment="1">
      <alignment horizontal="center" vertical="center"/>
    </xf>
    <xf numFmtId="0" fontId="43" fillId="0" borderId="17" xfId="15" applyFont="1" applyBorder="1" applyAlignment="1">
      <alignment vertical="center"/>
    </xf>
    <xf numFmtId="0" fontId="43" fillId="0" borderId="0" xfId="15" applyFont="1" applyAlignment="1">
      <alignment horizontal="justify" vertical="center" wrapText="1"/>
    </xf>
    <xf numFmtId="0" fontId="43" fillId="0" borderId="18" xfId="15" applyFont="1" applyBorder="1" applyAlignment="1">
      <alignment horizontal="justify" vertical="center" wrapText="1"/>
    </xf>
    <xf numFmtId="0" fontId="46" fillId="0" borderId="0" xfId="15" applyFont="1" applyAlignment="1">
      <alignment horizontal="right" vertical="center"/>
    </xf>
    <xf numFmtId="0" fontId="47" fillId="0" borderId="0" xfId="15" applyFont="1" applyAlignment="1">
      <alignment horizontal="right" vertical="center"/>
    </xf>
    <xf numFmtId="49" fontId="49" fillId="0" borderId="0" xfId="15" applyNumberFormat="1" applyFont="1" applyAlignment="1">
      <alignment horizontal="center" vertical="center"/>
    </xf>
    <xf numFmtId="2" fontId="46" fillId="0" borderId="0" xfId="15" applyNumberFormat="1" applyFont="1" applyAlignment="1">
      <alignment horizontal="center" vertical="center"/>
    </xf>
    <xf numFmtId="0" fontId="46" fillId="0" borderId="0" xfId="15" applyFont="1" applyAlignment="1">
      <alignment vertical="center"/>
    </xf>
    <xf numFmtId="0" fontId="42" fillId="0" borderId="17" xfId="15" applyFont="1" applyBorder="1"/>
    <xf numFmtId="0" fontId="43" fillId="0" borderId="0" xfId="15" applyFont="1" applyAlignment="1">
      <alignment horizontal="left" vertical="center"/>
    </xf>
    <xf numFmtId="0" fontId="43" fillId="0" borderId="0" xfId="15" applyFont="1" applyAlignment="1">
      <alignment horizontal="center" vertical="center"/>
    </xf>
    <xf numFmtId="0" fontId="43" fillId="0" borderId="18" xfId="15" applyFont="1" applyBorder="1" applyAlignment="1">
      <alignment horizontal="center" vertical="center"/>
    </xf>
    <xf numFmtId="0" fontId="42" fillId="0" borderId="17" xfId="15" applyFont="1" applyBorder="1" applyAlignment="1">
      <alignment horizontal="right" vertical="center"/>
    </xf>
    <xf numFmtId="2" fontId="45" fillId="0" borderId="0" xfId="15" applyNumberFormat="1" applyFont="1" applyAlignment="1">
      <alignment horizontal="center" vertical="center"/>
    </xf>
    <xf numFmtId="0" fontId="42" fillId="0" borderId="19" xfId="15" applyFont="1" applyBorder="1" applyAlignment="1">
      <alignment horizontal="center" vertical="center"/>
    </xf>
    <xf numFmtId="0" fontId="42" fillId="0" borderId="20" xfId="15" applyFont="1" applyBorder="1" applyAlignment="1">
      <alignment vertical="center"/>
    </xf>
    <xf numFmtId="0" fontId="42" fillId="0" borderId="20" xfId="15" applyFont="1" applyBorder="1" applyAlignment="1">
      <alignment horizontal="center" vertical="center"/>
    </xf>
    <xf numFmtId="0" fontId="42" fillId="0" borderId="21" xfId="15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0" borderId="38" xfId="0" applyBorder="1"/>
    <xf numFmtId="0" fontId="19" fillId="5" borderId="34" xfId="11" applyFont="1" applyFill="1" applyBorder="1" applyAlignment="1">
      <alignment horizontal="center"/>
    </xf>
    <xf numFmtId="10" fontId="19" fillId="4" borderId="46" xfId="11" applyNumberFormat="1" applyFont="1" applyFill="1" applyBorder="1" applyAlignment="1"/>
    <xf numFmtId="0" fontId="19" fillId="0" borderId="38" xfId="11" applyFont="1" applyBorder="1" applyAlignment="1">
      <alignment horizontal="left"/>
    </xf>
    <xf numFmtId="10" fontId="19" fillId="0" borderId="50" xfId="11" applyNumberFormat="1" applyFont="1" applyBorder="1" applyAlignment="1"/>
    <xf numFmtId="0" fontId="20" fillId="0" borderId="38" xfId="11" applyFont="1" applyBorder="1" applyAlignment="1">
      <alignment horizontal="left"/>
    </xf>
    <xf numFmtId="10" fontId="20" fillId="4" borderId="50" xfId="11" applyNumberFormat="1" applyFont="1" applyFill="1" applyBorder="1"/>
    <xf numFmtId="0" fontId="21" fillId="0" borderId="38" xfId="11" applyFont="1" applyBorder="1" applyAlignment="1">
      <alignment horizontal="left"/>
    </xf>
    <xf numFmtId="10" fontId="21" fillId="4" borderId="50" xfId="11" applyNumberFormat="1" applyFont="1" applyFill="1" applyBorder="1"/>
    <xf numFmtId="0" fontId="20" fillId="0" borderId="17" xfId="11" applyFont="1" applyBorder="1" applyAlignment="1">
      <alignment horizontal="left"/>
    </xf>
    <xf numFmtId="10" fontId="20" fillId="0" borderId="18" xfId="11" applyNumberFormat="1" applyFont="1" applyBorder="1"/>
    <xf numFmtId="10" fontId="20" fillId="4" borderId="52" xfId="11" applyNumberFormat="1" applyFont="1" applyFill="1" applyBorder="1"/>
    <xf numFmtId="10" fontId="19" fillId="4" borderId="50" xfId="11" applyNumberFormat="1" applyFont="1" applyFill="1" applyBorder="1" applyAlignment="1"/>
    <xf numFmtId="0" fontId="20" fillId="0" borderId="18" xfId="11" applyFont="1" applyBorder="1"/>
    <xf numFmtId="0" fontId="20" fillId="0" borderId="17" xfId="11" applyFont="1" applyBorder="1"/>
    <xf numFmtId="0" fontId="21" fillId="0" borderId="39" xfId="11" applyFont="1" applyBorder="1" applyAlignment="1">
      <alignment horizontal="center"/>
    </xf>
    <xf numFmtId="0" fontId="20" fillId="0" borderId="49" xfId="11" applyFont="1" applyBorder="1"/>
    <xf numFmtId="10" fontId="20" fillId="0" borderId="39" xfId="11" applyNumberFormat="1" applyFont="1" applyBorder="1" applyAlignment="1">
      <alignment horizontal="center"/>
    </xf>
    <xf numFmtId="0" fontId="20" fillId="0" borderId="49" xfId="11" applyFont="1" applyFill="1" applyBorder="1"/>
    <xf numFmtId="10" fontId="1" fillId="0" borderId="39" xfId="11" applyNumberFormat="1" applyBorder="1" applyAlignment="1">
      <alignment horizontal="center"/>
    </xf>
    <xf numFmtId="0" fontId="23" fillId="0" borderId="49" xfId="11" applyFont="1" applyFill="1" applyBorder="1"/>
    <xf numFmtId="9" fontId="1" fillId="0" borderId="39" xfId="7" applyNumberFormat="1" applyFont="1" applyBorder="1" applyAlignment="1">
      <alignment horizontal="center"/>
    </xf>
    <xf numFmtId="0" fontId="20" fillId="0" borderId="17" xfId="11" applyFont="1" applyFill="1" applyBorder="1"/>
    <xf numFmtId="10" fontId="1" fillId="0" borderId="39" xfId="7" applyNumberFormat="1" applyFont="1" applyBorder="1" applyAlignment="1">
      <alignment horizontal="center"/>
    </xf>
    <xf numFmtId="0" fontId="1" fillId="0" borderId="19" xfId="7" applyBorder="1"/>
    <xf numFmtId="0" fontId="1" fillId="0" borderId="20" xfId="7" applyBorder="1"/>
    <xf numFmtId="0" fontId="1" fillId="0" borderId="42" xfId="7" applyBorder="1"/>
    <xf numFmtId="44" fontId="8" fillId="0" borderId="1" xfId="0" applyNumberFormat="1" applyFont="1" applyFill="1" applyBorder="1" applyAlignment="1">
      <alignment horizontal="center" vertical="center" wrapText="1"/>
    </xf>
    <xf numFmtId="4" fontId="8" fillId="0" borderId="39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35" fillId="3" borderId="1" xfId="3" applyFont="1" applyFill="1" applyBorder="1" applyAlignment="1">
      <alignment horizontal="left" vertical="center" wrapText="1"/>
    </xf>
    <xf numFmtId="0" fontId="34" fillId="3" borderId="1" xfId="3" applyFont="1" applyFill="1" applyBorder="1" applyAlignment="1">
      <alignment horizontal="center" vertical="center" wrapText="1"/>
    </xf>
    <xf numFmtId="0" fontId="34" fillId="3" borderId="1" xfId="3" applyFont="1" applyFill="1" applyBorder="1" applyAlignment="1">
      <alignment horizontal="left" vertical="center" wrapText="1"/>
    </xf>
    <xf numFmtId="4" fontId="34" fillId="3" borderId="1" xfId="3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vertical="center"/>
    </xf>
    <xf numFmtId="4" fontId="34" fillId="0" borderId="1" xfId="3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167" fontId="34" fillId="0" borderId="1" xfId="3" applyNumberFormat="1" applyFont="1" applyFill="1" applyBorder="1" applyAlignment="1">
      <alignment horizontal="center" vertical="center" wrapText="1"/>
    </xf>
    <xf numFmtId="0" fontId="7" fillId="0" borderId="1" xfId="7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vertical="top" wrapText="1"/>
    </xf>
    <xf numFmtId="0" fontId="50" fillId="3" borderId="1" xfId="3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wrapText="1"/>
    </xf>
    <xf numFmtId="167" fontId="34" fillId="3" borderId="1" xfId="3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165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2" fontId="33" fillId="0" borderId="35" xfId="0" applyNumberFormat="1" applyFont="1" applyBorder="1" applyAlignment="1">
      <alignment vertical="center"/>
    </xf>
    <xf numFmtId="2" fontId="14" fillId="0" borderId="36" xfId="7" applyNumberFormat="1" applyFont="1" applyFill="1" applyBorder="1" applyAlignment="1">
      <alignment horizontal="center" vertical="center"/>
    </xf>
    <xf numFmtId="2" fontId="33" fillId="0" borderId="36" xfId="0" applyNumberFormat="1" applyFont="1" applyBorder="1"/>
    <xf numFmtId="2" fontId="14" fillId="0" borderId="36" xfId="7" applyNumberFormat="1" applyFont="1" applyFill="1" applyBorder="1" applyAlignment="1">
      <alignment vertical="center" wrapText="1"/>
    </xf>
    <xf numFmtId="2" fontId="33" fillId="0" borderId="36" xfId="0" applyNumberFormat="1" applyFont="1" applyBorder="1" applyAlignment="1">
      <alignment horizontal="center" vertical="center"/>
    </xf>
    <xf numFmtId="2" fontId="33" fillId="0" borderId="37" xfId="0" applyNumberFormat="1" applyFont="1" applyBorder="1" applyAlignment="1">
      <alignment horizontal="center" vertical="center"/>
    </xf>
    <xf numFmtId="2" fontId="33" fillId="0" borderId="57" xfId="0" applyNumberFormat="1" applyFont="1" applyBorder="1"/>
    <xf numFmtId="2" fontId="33" fillId="0" borderId="58" xfId="0" applyNumberFormat="1" applyFont="1" applyBorder="1"/>
    <xf numFmtId="2" fontId="33" fillId="0" borderId="58" xfId="0" applyNumberFormat="1" applyFont="1" applyBorder="1" applyAlignment="1">
      <alignment horizontal="center" vertical="center"/>
    </xf>
    <xf numFmtId="2" fontId="33" fillId="0" borderId="58" xfId="0" applyNumberFormat="1" applyFont="1" applyFill="1" applyBorder="1" applyAlignment="1">
      <alignment horizontal="center" vertical="center"/>
    </xf>
    <xf numFmtId="2" fontId="25" fillId="0" borderId="58" xfId="0" applyNumberFormat="1" applyFont="1" applyBorder="1" applyAlignment="1">
      <alignment wrapText="1"/>
    </xf>
    <xf numFmtId="164" fontId="1" fillId="0" borderId="59" xfId="8" applyFont="1" applyFill="1" applyBorder="1" applyAlignment="1">
      <alignment horizontal="right" vertical="center"/>
    </xf>
    <xf numFmtId="2" fontId="25" fillId="6" borderId="6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51" fillId="4" borderId="22" xfId="0" applyFont="1" applyFill="1" applyBorder="1" applyAlignment="1">
      <alignment horizontal="center" vertical="center"/>
    </xf>
    <xf numFmtId="0" fontId="51" fillId="4" borderId="22" xfId="0" applyFont="1" applyFill="1" applyBorder="1" applyAlignment="1">
      <alignment horizontal="center" vertical="center" wrapText="1"/>
    </xf>
    <xf numFmtId="0" fontId="52" fillId="0" borderId="36" xfId="7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51" fillId="0" borderId="36" xfId="0" applyFont="1" applyBorder="1" applyAlignment="1">
      <alignment vertical="top"/>
    </xf>
    <xf numFmtId="0" fontId="53" fillId="0" borderId="36" xfId="0" applyFont="1" applyBorder="1" applyAlignment="1">
      <alignment horizontal="center" vertical="center" wrapText="1"/>
    </xf>
    <xf numFmtId="44" fontId="53" fillId="0" borderId="36" xfId="0" applyNumberFormat="1" applyFont="1" applyBorder="1" applyAlignment="1">
      <alignment horizontal="center" vertical="center" wrapText="1"/>
    </xf>
    <xf numFmtId="0" fontId="40" fillId="0" borderId="58" xfId="0" applyFont="1" applyBorder="1" applyAlignment="1">
      <alignment horizontal="center" vertical="center"/>
    </xf>
    <xf numFmtId="0" fontId="40" fillId="0" borderId="61" xfId="0" applyFont="1" applyBorder="1" applyAlignment="1">
      <alignment horizontal="center" vertical="center"/>
    </xf>
    <xf numFmtId="0" fontId="53" fillId="0" borderId="58" xfId="0" applyFont="1" applyBorder="1" applyAlignment="1">
      <alignment horizontal="center" vertical="center" wrapText="1"/>
    </xf>
    <xf numFmtId="2" fontId="40" fillId="0" borderId="58" xfId="0" applyNumberFormat="1" applyFont="1" applyBorder="1" applyAlignment="1">
      <alignment horizontal="center" vertical="center"/>
    </xf>
    <xf numFmtId="44" fontId="40" fillId="0" borderId="58" xfId="0" applyNumberFormat="1" applyFont="1" applyBorder="1" applyAlignment="1">
      <alignment horizontal="center" vertical="center"/>
    </xf>
    <xf numFmtId="0" fontId="40" fillId="0" borderId="61" xfId="0" applyFont="1" applyBorder="1" applyAlignment="1">
      <alignment wrapText="1"/>
    </xf>
    <xf numFmtId="0" fontId="33" fillId="0" borderId="35" xfId="0" applyFont="1" applyBorder="1" applyAlignment="1">
      <alignment horizontal="left" vertical="center"/>
    </xf>
    <xf numFmtId="0" fontId="14" fillId="0" borderId="36" xfId="7" applyFont="1" applyBorder="1" applyAlignment="1">
      <alignment horizontal="center" vertical="center"/>
    </xf>
    <xf numFmtId="0" fontId="1" fillId="0" borderId="61" xfId="7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/>
    </xf>
    <xf numFmtId="0" fontId="14" fillId="0" borderId="61" xfId="7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 wrapText="1"/>
    </xf>
    <xf numFmtId="44" fontId="1" fillId="0" borderId="36" xfId="0" applyNumberFormat="1" applyFont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51" fillId="0" borderId="36" xfId="0" applyFont="1" applyBorder="1" applyAlignment="1">
      <alignment vertical="top" wrapText="1"/>
    </xf>
    <xf numFmtId="0" fontId="51" fillId="0" borderId="36" xfId="0" applyFont="1" applyBorder="1" applyAlignment="1">
      <alignment vertical="center" wrapText="1"/>
    </xf>
    <xf numFmtId="0" fontId="40" fillId="0" borderId="35" xfId="0" applyFont="1" applyBorder="1" applyAlignment="1">
      <alignment horizontal="left" vertical="center"/>
    </xf>
    <xf numFmtId="0" fontId="14" fillId="0" borderId="36" xfId="7" applyFont="1" applyBorder="1" applyAlignment="1">
      <alignment vertical="center" wrapText="1"/>
    </xf>
    <xf numFmtId="44" fontId="52" fillId="0" borderId="37" xfId="0" applyNumberFormat="1" applyFont="1" applyBorder="1" applyAlignment="1">
      <alignment horizontal="center" vertical="center" wrapText="1"/>
    </xf>
    <xf numFmtId="0" fontId="54" fillId="0" borderId="1" xfId="0" applyFont="1" applyBorder="1"/>
    <xf numFmtId="0" fontId="1" fillId="6" borderId="1" xfId="16" applyFont="1" applyFill="1" applyBorder="1" applyAlignment="1" applyProtection="1">
      <alignment horizontal="center" vertical="center" wrapText="1"/>
    </xf>
    <xf numFmtId="0" fontId="25" fillId="6" borderId="1" xfId="0" applyFont="1" applyFill="1" applyBorder="1" applyAlignment="1">
      <alignment vertical="top" wrapText="1"/>
    </xf>
    <xf numFmtId="0" fontId="25" fillId="6" borderId="1" xfId="0" applyFont="1" applyFill="1" applyBorder="1" applyAlignment="1">
      <alignment horizontal="center" vertical="center"/>
    </xf>
    <xf numFmtId="44" fontId="25" fillId="6" borderId="1" xfId="0" applyNumberFormat="1" applyFont="1" applyFill="1" applyBorder="1" applyAlignment="1">
      <alignment horizontal="center" vertical="center"/>
    </xf>
    <xf numFmtId="0" fontId="1" fillId="13" borderId="1" xfId="16" applyFont="1" applyFill="1" applyBorder="1" applyAlignment="1" applyProtection="1">
      <alignment horizontal="center" vertical="center" wrapText="1"/>
    </xf>
    <xf numFmtId="0" fontId="25" fillId="13" borderId="1" xfId="0" applyFont="1" applyFill="1" applyBorder="1" applyAlignment="1">
      <alignment horizontal="left" vertical="top" wrapText="1"/>
    </xf>
    <xf numFmtId="0" fontId="25" fillId="13" borderId="1" xfId="0" applyFont="1" applyFill="1" applyBorder="1" applyAlignment="1">
      <alignment horizontal="center" vertical="center"/>
    </xf>
    <xf numFmtId="44" fontId="25" fillId="13" borderId="1" xfId="0" applyNumberFormat="1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left" vertical="top" wrapText="1"/>
    </xf>
    <xf numFmtId="170" fontId="25" fillId="13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wrapText="1"/>
    </xf>
    <xf numFmtId="44" fontId="33" fillId="0" borderId="1" xfId="0" applyNumberFormat="1" applyFont="1" applyBorder="1" applyAlignment="1">
      <alignment horizontal="center" vertical="center"/>
    </xf>
    <xf numFmtId="0" fontId="3" fillId="0" borderId="6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8" fillId="0" borderId="5" xfId="0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right" vertical="top" wrapText="1"/>
    </xf>
    <xf numFmtId="4" fontId="8" fillId="0" borderId="54" xfId="0" applyNumberFormat="1" applyFont="1" applyFill="1" applyBorder="1" applyAlignment="1">
      <alignment horizontal="right" vertical="top" wrapText="1"/>
    </xf>
    <xf numFmtId="0" fontId="54" fillId="0" borderId="38" xfId="0" applyFont="1" applyBorder="1"/>
    <xf numFmtId="44" fontId="25" fillId="6" borderId="39" xfId="0" applyNumberFormat="1" applyFont="1" applyFill="1" applyBorder="1" applyAlignment="1">
      <alignment horizontal="center" vertical="center"/>
    </xf>
    <xf numFmtId="44" fontId="33" fillId="0" borderId="39" xfId="0" applyNumberFormat="1" applyFont="1" applyBorder="1" applyAlignment="1">
      <alignment horizontal="center" vertical="center"/>
    </xf>
    <xf numFmtId="0" fontId="54" fillId="0" borderId="40" xfId="0" applyFont="1" applyBorder="1"/>
    <xf numFmtId="0" fontId="54" fillId="0" borderId="41" xfId="0" applyFont="1" applyBorder="1"/>
    <xf numFmtId="0" fontId="33" fillId="0" borderId="41" xfId="0" applyFont="1" applyBorder="1"/>
    <xf numFmtId="0" fontId="9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right" vertical="top" wrapText="1"/>
    </xf>
    <xf numFmtId="4" fontId="8" fillId="0" borderId="1" xfId="0" applyNumberFormat="1" applyFont="1" applyFill="1" applyBorder="1" applyAlignment="1">
      <alignment horizontal="right" vertical="top" wrapText="1"/>
    </xf>
    <xf numFmtId="0" fontId="8" fillId="0" borderId="39" xfId="0" applyFont="1" applyFill="1" applyBorder="1" applyAlignment="1">
      <alignment horizontal="right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left" vertical="top" wrapText="1" indent="1"/>
    </xf>
    <xf numFmtId="0" fontId="25" fillId="13" borderId="1" xfId="0" applyFont="1" applyFill="1" applyBorder="1" applyAlignment="1">
      <alignment horizontal="left" vertical="top" wrapText="1" indent="1"/>
    </xf>
    <xf numFmtId="0" fontId="52" fillId="4" borderId="2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8" fillId="0" borderId="39" xfId="0" applyNumberFormat="1" applyFont="1" applyFill="1" applyBorder="1" applyAlignment="1">
      <alignment horizontal="right" vertical="top" wrapText="1"/>
    </xf>
    <xf numFmtId="0" fontId="3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top" wrapText="1"/>
    </xf>
    <xf numFmtId="165" fontId="4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2" fillId="14" borderId="13" xfId="0" applyFont="1" applyFill="1" applyBorder="1" applyAlignment="1">
      <alignment horizontal="center" vertical="top" wrapText="1"/>
    </xf>
    <xf numFmtId="0" fontId="52" fillId="14" borderId="66" xfId="0" applyFont="1" applyFill="1" applyBorder="1" applyAlignment="1">
      <alignment horizontal="center" vertical="top" wrapText="1"/>
    </xf>
    <xf numFmtId="0" fontId="52" fillId="14" borderId="65" xfId="0" applyFont="1" applyFill="1" applyBorder="1" applyAlignment="1">
      <alignment horizontal="center" vertical="top" wrapText="1"/>
    </xf>
    <xf numFmtId="165" fontId="58" fillId="14" borderId="68" xfId="0" applyNumberFormat="1" applyFont="1" applyFill="1" applyBorder="1" applyAlignment="1">
      <alignment horizontal="center" vertical="center" wrapText="1"/>
    </xf>
    <xf numFmtId="10" fontId="59" fillId="14" borderId="59" xfId="8" applyNumberFormat="1" applyFont="1" applyFill="1" applyBorder="1" applyAlignment="1">
      <alignment horizontal="center" vertical="center"/>
    </xf>
    <xf numFmtId="0" fontId="59" fillId="14" borderId="66" xfId="0" applyFont="1" applyFill="1" applyBorder="1" applyAlignment="1">
      <alignment vertical="center"/>
    </xf>
    <xf numFmtId="39" fontId="53" fillId="14" borderId="70" xfId="8" applyNumberFormat="1" applyFont="1" applyFill="1" applyBorder="1" applyAlignment="1">
      <alignment vertical="center"/>
    </xf>
    <xf numFmtId="0" fontId="53" fillId="14" borderId="70" xfId="0" applyFont="1" applyFill="1" applyBorder="1" applyAlignment="1">
      <alignment vertical="center"/>
    </xf>
    <xf numFmtId="0" fontId="57" fillId="14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0" xfId="0" quotePrefix="1"/>
    <xf numFmtId="165" fontId="0" fillId="0" borderId="0" xfId="0" applyNumberFormat="1" applyAlignment="1">
      <alignment horizontal="left"/>
    </xf>
    <xf numFmtId="0" fontId="0" fillId="14" borderId="0" xfId="0" applyFill="1" applyAlignment="1">
      <alignment horizontal="center"/>
    </xf>
    <xf numFmtId="0" fontId="0" fillId="14" borderId="0" xfId="0" applyFill="1"/>
    <xf numFmtId="0" fontId="60" fillId="14" borderId="0" xfId="0" applyFont="1" applyFill="1" applyAlignment="1">
      <alignment horizontal="center" vertical="center"/>
    </xf>
    <xf numFmtId="165" fontId="0" fillId="14" borderId="0" xfId="0" applyNumberFormat="1" applyFill="1" applyAlignment="1">
      <alignment horizontal="center" vertical="center"/>
    </xf>
    <xf numFmtId="10" fontId="0" fillId="14" borderId="0" xfId="0" applyNumberFormat="1" applyFill="1" applyAlignment="1">
      <alignment horizontal="center" vertical="center"/>
    </xf>
    <xf numFmtId="10" fontId="0" fillId="14" borderId="0" xfId="0" applyNumberFormat="1" applyFill="1" applyAlignment="1">
      <alignment horizontal="left" vertical="center"/>
    </xf>
    <xf numFmtId="0" fontId="62" fillId="2" borderId="13" xfId="0" applyFont="1" applyFill="1" applyBorder="1" applyAlignment="1">
      <alignment vertical="center"/>
    </xf>
    <xf numFmtId="0" fontId="62" fillId="2" borderId="66" xfId="0" applyFont="1" applyFill="1" applyBorder="1" applyAlignment="1">
      <alignment vertical="center"/>
    </xf>
    <xf numFmtId="0" fontId="62" fillId="2" borderId="65" xfId="0" applyFont="1" applyFill="1" applyBorder="1" applyAlignment="1">
      <alignment vertical="center"/>
    </xf>
    <xf numFmtId="0" fontId="62" fillId="2" borderId="67" xfId="0" applyFont="1" applyFill="1" applyBorder="1" applyAlignment="1">
      <alignment vertical="center"/>
    </xf>
    <xf numFmtId="0" fontId="62" fillId="2" borderId="0" xfId="0" applyFont="1" applyFill="1" applyAlignment="1">
      <alignment vertical="center"/>
    </xf>
    <xf numFmtId="0" fontId="62" fillId="2" borderId="68" xfId="0" applyFont="1" applyFill="1" applyBorder="1" applyAlignment="1">
      <alignment vertical="center"/>
    </xf>
    <xf numFmtId="10" fontId="65" fillId="2" borderId="68" xfId="0" applyNumberFormat="1" applyFont="1" applyFill="1" applyBorder="1" applyAlignment="1">
      <alignment horizontal="left" vertical="center" wrapText="1" shrinkToFit="1"/>
    </xf>
    <xf numFmtId="4" fontId="61" fillId="2" borderId="67" xfId="0" applyNumberFormat="1" applyFont="1" applyFill="1" applyBorder="1" applyAlignment="1">
      <alignment vertical="center" wrapText="1"/>
    </xf>
    <xf numFmtId="4" fontId="61" fillId="2" borderId="0" xfId="0" applyNumberFormat="1" applyFont="1" applyFill="1" applyAlignment="1">
      <alignment vertical="center" wrapText="1"/>
    </xf>
    <xf numFmtId="0" fontId="62" fillId="2" borderId="68" xfId="0" applyFont="1" applyFill="1" applyBorder="1" applyAlignment="1">
      <alignment vertical="center" wrapText="1" shrinkToFit="1"/>
    </xf>
    <xf numFmtId="4" fontId="61" fillId="2" borderId="69" xfId="0" applyNumberFormat="1" applyFont="1" applyFill="1" applyBorder="1" applyAlignment="1">
      <alignment vertical="center" wrapText="1"/>
    </xf>
    <xf numFmtId="4" fontId="61" fillId="2" borderId="70" xfId="0" applyNumberFormat="1" applyFont="1" applyFill="1" applyBorder="1" applyAlignment="1">
      <alignment vertical="center" wrapText="1"/>
    </xf>
    <xf numFmtId="0" fontId="62" fillId="2" borderId="59" xfId="0" applyFont="1" applyFill="1" applyBorder="1" applyAlignment="1">
      <alignment vertical="center" wrapText="1" shrinkToFit="1"/>
    </xf>
    <xf numFmtId="0" fontId="62" fillId="2" borderId="70" xfId="0" applyFont="1" applyFill="1" applyBorder="1" applyAlignment="1">
      <alignment vertical="center" wrapText="1" shrinkToFit="1"/>
    </xf>
    <xf numFmtId="4" fontId="61" fillId="2" borderId="59" xfId="0" applyNumberFormat="1" applyFont="1" applyFill="1" applyBorder="1" applyAlignment="1">
      <alignment vertical="center" wrapText="1"/>
    </xf>
    <xf numFmtId="0" fontId="30" fillId="15" borderId="61" xfId="0" applyFont="1" applyFill="1" applyBorder="1" applyAlignment="1">
      <alignment horizontal="center" vertical="center"/>
    </xf>
    <xf numFmtId="0" fontId="14" fillId="15" borderId="61" xfId="0" applyFont="1" applyFill="1" applyBorder="1" applyAlignment="1">
      <alignment horizontal="center" vertical="center"/>
    </xf>
    <xf numFmtId="0" fontId="14" fillId="16" borderId="72" xfId="0" applyFont="1" applyFill="1" applyBorder="1" applyAlignment="1">
      <alignment horizontal="center" vertical="center"/>
    </xf>
    <xf numFmtId="0" fontId="14" fillId="16" borderId="72" xfId="0" applyFont="1" applyFill="1" applyBorder="1" applyAlignment="1">
      <alignment horizontal="center" vertical="top"/>
    </xf>
    <xf numFmtId="4" fontId="1" fillId="16" borderId="58" xfId="0" applyNumberFormat="1" applyFont="1" applyFill="1" applyBorder="1" applyAlignment="1">
      <alignment horizontal="center" vertical="center"/>
    </xf>
    <xf numFmtId="4" fontId="62" fillId="2" borderId="74" xfId="0" applyNumberFormat="1" applyFont="1" applyFill="1" applyBorder="1" applyAlignment="1">
      <alignment horizontal="center" wrapText="1"/>
    </xf>
    <xf numFmtId="4" fontId="62" fillId="2" borderId="73" xfId="0" applyNumberFormat="1" applyFont="1" applyFill="1" applyBorder="1" applyAlignment="1">
      <alignment horizontal="center" vertical="center" wrapText="1"/>
    </xf>
    <xf numFmtId="9" fontId="63" fillId="2" borderId="76" xfId="0" applyNumberFormat="1" applyFont="1" applyFill="1" applyBorder="1" applyAlignment="1">
      <alignment horizontal="center" vertical="top" wrapText="1"/>
    </xf>
    <xf numFmtId="4" fontId="62" fillId="2" borderId="58" xfId="0" applyNumberFormat="1" applyFont="1" applyFill="1" applyBorder="1" applyAlignment="1">
      <alignment horizontal="center" vertical="center" wrapText="1"/>
    </xf>
    <xf numFmtId="10" fontId="63" fillId="2" borderId="76" xfId="0" applyNumberFormat="1" applyFont="1" applyFill="1" applyBorder="1" applyAlignment="1">
      <alignment horizontal="center" vertical="top" wrapText="1"/>
    </xf>
    <xf numFmtId="4" fontId="62" fillId="16" borderId="78" xfId="0" applyNumberFormat="1" applyFont="1" applyFill="1" applyBorder="1" applyAlignment="1">
      <alignment horizontal="center" vertical="center" wrapText="1"/>
    </xf>
    <xf numFmtId="4" fontId="62" fillId="11" borderId="79" xfId="0" applyNumberFormat="1" applyFont="1" applyFill="1" applyBorder="1" applyAlignment="1">
      <alignment horizontal="center" vertical="center" wrapText="1"/>
    </xf>
    <xf numFmtId="4" fontId="62" fillId="11" borderId="80" xfId="0" applyNumberFormat="1" applyFont="1" applyFill="1" applyBorder="1" applyAlignment="1">
      <alignment horizontal="center" vertical="center" wrapText="1"/>
    </xf>
    <xf numFmtId="4" fontId="62" fillId="11" borderId="81" xfId="0" applyNumberFormat="1" applyFont="1" applyFill="1" applyBorder="1" applyAlignment="1">
      <alignment horizontal="center" vertical="center" wrapText="1"/>
    </xf>
    <xf numFmtId="4" fontId="62" fillId="17" borderId="80" xfId="0" applyNumberFormat="1" applyFont="1" applyFill="1" applyBorder="1" applyAlignment="1">
      <alignment horizontal="center" vertical="center" wrapText="1"/>
    </xf>
    <xf numFmtId="4" fontId="62" fillId="17" borderId="81" xfId="0" applyNumberFormat="1" applyFont="1" applyFill="1" applyBorder="1" applyAlignment="1">
      <alignment horizontal="center" vertical="center" wrapText="1"/>
    </xf>
    <xf numFmtId="4" fontId="62" fillId="16" borderId="82" xfId="0" applyNumberFormat="1" applyFont="1" applyFill="1" applyBorder="1" applyAlignment="1">
      <alignment horizontal="center" vertical="center" wrapText="1"/>
    </xf>
    <xf numFmtId="4" fontId="62" fillId="11" borderId="83" xfId="0" applyNumberFormat="1" applyFont="1" applyFill="1" applyBorder="1" applyAlignment="1">
      <alignment horizontal="center" vertical="center" wrapText="1"/>
    </xf>
    <xf numFmtId="4" fontId="62" fillId="11" borderId="61" xfId="0" applyNumberFormat="1" applyFont="1" applyFill="1" applyBorder="1" applyAlignment="1">
      <alignment horizontal="center" vertical="center" wrapText="1"/>
    </xf>
    <xf numFmtId="4" fontId="62" fillId="11" borderId="84" xfId="0" applyNumberFormat="1" applyFont="1" applyFill="1" applyBorder="1" applyAlignment="1">
      <alignment horizontal="center" vertical="center" wrapText="1"/>
    </xf>
    <xf numFmtId="4" fontId="62" fillId="17" borderId="61" xfId="0" applyNumberFormat="1" applyFont="1" applyFill="1" applyBorder="1" applyAlignment="1">
      <alignment horizontal="center" vertical="center" wrapText="1"/>
    </xf>
    <xf numFmtId="4" fontId="62" fillId="17" borderId="84" xfId="0" applyNumberFormat="1" applyFont="1" applyFill="1" applyBorder="1" applyAlignment="1">
      <alignment horizontal="center" vertical="center" wrapText="1"/>
    </xf>
    <xf numFmtId="4" fontId="63" fillId="16" borderId="82" xfId="0" applyNumberFormat="1" applyFont="1" applyFill="1" applyBorder="1" applyAlignment="1">
      <alignment horizontal="center" vertical="center" wrapText="1"/>
    </xf>
    <xf numFmtId="10" fontId="62" fillId="16" borderId="82" xfId="0" applyNumberFormat="1" applyFont="1" applyFill="1" applyBorder="1" applyAlignment="1">
      <alignment horizontal="center" vertical="center" wrapText="1"/>
    </xf>
    <xf numFmtId="10" fontId="62" fillId="11" borderId="83" xfId="0" applyNumberFormat="1" applyFont="1" applyFill="1" applyBorder="1" applyAlignment="1">
      <alignment horizontal="center" vertical="center" wrapText="1"/>
    </xf>
    <xf numFmtId="10" fontId="62" fillId="11" borderId="61" xfId="0" applyNumberFormat="1" applyFont="1" applyFill="1" applyBorder="1" applyAlignment="1">
      <alignment horizontal="center" vertical="center" wrapText="1"/>
    </xf>
    <xf numFmtId="10" fontId="62" fillId="11" borderId="84" xfId="0" applyNumberFormat="1" applyFont="1" applyFill="1" applyBorder="1" applyAlignment="1">
      <alignment horizontal="center" vertical="center" wrapText="1"/>
    </xf>
    <xf numFmtId="10" fontId="62" fillId="17" borderId="61" xfId="0" applyNumberFormat="1" applyFont="1" applyFill="1" applyBorder="1" applyAlignment="1">
      <alignment horizontal="center" vertical="center" wrapText="1"/>
    </xf>
    <xf numFmtId="10" fontId="62" fillId="17" borderId="84" xfId="0" applyNumberFormat="1" applyFont="1" applyFill="1" applyBorder="1" applyAlignment="1">
      <alignment horizontal="center" vertical="center" wrapText="1"/>
    </xf>
    <xf numFmtId="10" fontId="63" fillId="16" borderId="87" xfId="0" applyNumberFormat="1" applyFont="1" applyFill="1" applyBorder="1" applyAlignment="1">
      <alignment horizontal="center" vertical="center" wrapText="1"/>
    </xf>
    <xf numFmtId="0" fontId="53" fillId="2" borderId="67" xfId="0" applyFont="1" applyFill="1" applyBorder="1" applyAlignment="1">
      <alignment vertical="center"/>
    </xf>
    <xf numFmtId="0" fontId="53" fillId="2" borderId="0" xfId="0" applyFont="1" applyFill="1" applyAlignment="1">
      <alignment vertical="center"/>
    </xf>
    <xf numFmtId="0" fontId="53" fillId="2" borderId="68" xfId="0" applyFont="1" applyFill="1" applyBorder="1" applyAlignment="1">
      <alignment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vertical="center"/>
    </xf>
    <xf numFmtId="39" fontId="62" fillId="0" borderId="0" xfId="8" applyNumberFormat="1" applyFont="1" applyBorder="1" applyAlignment="1">
      <alignment horizontal="right" vertical="center"/>
    </xf>
    <xf numFmtId="0" fontId="70" fillId="14" borderId="13" xfId="0" applyFont="1" applyFill="1" applyBorder="1" applyAlignment="1">
      <alignment horizontal="center" vertical="top" wrapText="1"/>
    </xf>
    <xf numFmtId="4" fontId="71" fillId="14" borderId="66" xfId="0" applyNumberFormat="1" applyFont="1" applyFill="1" applyBorder="1" applyAlignment="1">
      <alignment vertical="center" wrapText="1"/>
    </xf>
    <xf numFmtId="4" fontId="71" fillId="14" borderId="70" xfId="0" applyNumberFormat="1" applyFont="1" applyFill="1" applyBorder="1" applyAlignment="1">
      <alignment vertical="center" wrapText="1"/>
    </xf>
    <xf numFmtId="0" fontId="62" fillId="14" borderId="66" xfId="0" applyFont="1" applyFill="1" applyBorder="1" applyAlignment="1">
      <alignment horizontal="center" vertical="center"/>
    </xf>
    <xf numFmtId="4" fontId="62" fillId="2" borderId="0" xfId="0" applyNumberFormat="1" applyFont="1" applyFill="1" applyAlignment="1">
      <alignment vertical="center"/>
    </xf>
    <xf numFmtId="10" fontId="30" fillId="16" borderId="72" xfId="0" applyNumberFormat="1" applyFont="1" applyFill="1" applyBorder="1" applyAlignment="1">
      <alignment horizontal="center" vertical="center"/>
    </xf>
    <xf numFmtId="4" fontId="62" fillId="17" borderId="62" xfId="0" applyNumberFormat="1" applyFont="1" applyFill="1" applyBorder="1" applyAlignment="1">
      <alignment horizontal="center" vertical="center" wrapText="1"/>
    </xf>
    <xf numFmtId="0" fontId="65" fillId="14" borderId="13" xfId="0" applyFont="1" applyFill="1" applyBorder="1" applyAlignment="1">
      <alignment horizontal="center" vertical="top" wrapText="1"/>
    </xf>
    <xf numFmtId="0" fontId="66" fillId="14" borderId="67" xfId="0" applyFont="1" applyFill="1" applyBorder="1" applyAlignment="1">
      <alignment horizontal="center" vertical="center" wrapText="1"/>
    </xf>
    <xf numFmtId="165" fontId="61" fillId="14" borderId="67" xfId="0" applyNumberFormat="1" applyFont="1" applyFill="1" applyBorder="1" applyAlignment="1">
      <alignment horizontal="center" vertical="center" wrapText="1"/>
    </xf>
    <xf numFmtId="10" fontId="67" fillId="14" borderId="69" xfId="8" applyNumberFormat="1" applyFont="1" applyFill="1" applyBorder="1" applyAlignment="1">
      <alignment horizontal="center" vertical="center"/>
    </xf>
    <xf numFmtId="9" fontId="0" fillId="0" borderId="0" xfId="0" applyNumberFormat="1"/>
    <xf numFmtId="10" fontId="62" fillId="2" borderId="0" xfId="0" applyNumberFormat="1" applyFont="1" applyFill="1" applyAlignment="1">
      <alignment vertical="center"/>
    </xf>
    <xf numFmtId="0" fontId="70" fillId="14" borderId="66" xfId="0" applyFont="1" applyFill="1" applyBorder="1" applyAlignment="1">
      <alignment horizontal="center" vertical="top" wrapText="1"/>
    </xf>
    <xf numFmtId="10" fontId="67" fillId="14" borderId="67" xfId="0" applyNumberFormat="1" applyFont="1" applyFill="1" applyBorder="1" applyAlignment="1">
      <alignment horizontal="center" vertical="center" wrapText="1"/>
    </xf>
    <xf numFmtId="0" fontId="62" fillId="2" borderId="94" xfId="0" applyFont="1" applyFill="1" applyBorder="1" applyAlignment="1">
      <alignment vertical="center"/>
    </xf>
    <xf numFmtId="0" fontId="62" fillId="2" borderId="95" xfId="0" applyFont="1" applyFill="1" applyBorder="1" applyAlignment="1">
      <alignment vertical="center"/>
    </xf>
    <xf numFmtId="0" fontId="69" fillId="2" borderId="95" xfId="0" applyFont="1" applyFill="1" applyBorder="1" applyAlignment="1">
      <alignment vertical="center"/>
    </xf>
    <xf numFmtId="0" fontId="70" fillId="14" borderId="96" xfId="0" applyFont="1" applyFill="1" applyBorder="1" applyAlignment="1">
      <alignment horizontal="center" vertical="top" wrapText="1"/>
    </xf>
    <xf numFmtId="0" fontId="66" fillId="14" borderId="0" xfId="0" applyFont="1" applyFill="1" applyBorder="1" applyAlignment="1">
      <alignment horizontal="center" vertical="center" wrapText="1"/>
    </xf>
    <xf numFmtId="0" fontId="66" fillId="14" borderId="97" xfId="0" applyFont="1" applyFill="1" applyBorder="1" applyAlignment="1">
      <alignment horizontal="center" vertical="center" wrapText="1"/>
    </xf>
    <xf numFmtId="165" fontId="61" fillId="14" borderId="97" xfId="0" applyNumberFormat="1" applyFont="1" applyFill="1" applyBorder="1" applyAlignment="1">
      <alignment horizontal="center" vertical="center" wrapText="1"/>
    </xf>
    <xf numFmtId="10" fontId="67" fillId="14" borderId="97" xfId="0" applyNumberFormat="1" applyFont="1" applyFill="1" applyBorder="1" applyAlignment="1">
      <alignment horizontal="center" vertical="center" wrapText="1"/>
    </xf>
    <xf numFmtId="4" fontId="71" fillId="2" borderId="95" xfId="0" applyNumberFormat="1" applyFont="1" applyFill="1" applyBorder="1" applyAlignment="1">
      <alignment vertical="center" wrapText="1"/>
    </xf>
    <xf numFmtId="0" fontId="72" fillId="14" borderId="98" xfId="0" applyFont="1" applyFill="1" applyBorder="1" applyAlignment="1">
      <alignment vertical="center"/>
    </xf>
    <xf numFmtId="4" fontId="61" fillId="2" borderId="95" xfId="0" applyNumberFormat="1" applyFont="1" applyFill="1" applyBorder="1" applyAlignment="1">
      <alignment vertical="center" wrapText="1"/>
    </xf>
    <xf numFmtId="10" fontId="65" fillId="14" borderId="18" xfId="0" applyNumberFormat="1" applyFont="1" applyFill="1" applyBorder="1" applyAlignment="1">
      <alignment horizontal="left" vertical="center" wrapText="1" shrinkToFit="1"/>
    </xf>
    <xf numFmtId="4" fontId="71" fillId="2" borderId="57" xfId="0" applyNumberFormat="1" applyFont="1" applyFill="1" applyBorder="1" applyAlignment="1">
      <alignment vertical="center" wrapText="1"/>
    </xf>
    <xf numFmtId="4" fontId="71" fillId="14" borderId="99" xfId="0" applyNumberFormat="1" applyFont="1" applyFill="1" applyBorder="1" applyAlignment="1">
      <alignment vertical="top"/>
    </xf>
    <xf numFmtId="0" fontId="62" fillId="14" borderId="100" xfId="0" applyFont="1" applyFill="1" applyBorder="1" applyAlignment="1">
      <alignment horizontal="center" vertical="center"/>
    </xf>
    <xf numFmtId="0" fontId="65" fillId="14" borderId="98" xfId="0" applyFont="1" applyFill="1" applyBorder="1" applyAlignment="1">
      <alignment horizontal="center" vertical="center" wrapText="1"/>
    </xf>
    <xf numFmtId="0" fontId="52" fillId="14" borderId="98" xfId="0" applyFont="1" applyFill="1" applyBorder="1" applyAlignment="1">
      <alignment horizontal="center" vertical="top" wrapText="1"/>
    </xf>
    <xf numFmtId="0" fontId="59" fillId="14" borderId="98" xfId="0" applyFont="1" applyFill="1" applyBorder="1" applyAlignment="1">
      <alignment vertical="center"/>
    </xf>
    <xf numFmtId="10" fontId="52" fillId="14" borderId="18" xfId="0" applyNumberFormat="1" applyFont="1" applyFill="1" applyBorder="1" applyAlignment="1">
      <alignment horizontal="left" vertical="center" wrapText="1" shrinkToFit="1"/>
    </xf>
    <xf numFmtId="0" fontId="53" fillId="14" borderId="99" xfId="0" applyFont="1" applyFill="1" applyBorder="1" applyAlignment="1">
      <alignment vertical="center"/>
    </xf>
    <xf numFmtId="0" fontId="53" fillId="14" borderId="17" xfId="0" applyFont="1" applyFill="1" applyBorder="1" applyAlignment="1">
      <alignment vertical="center" wrapText="1" shrinkToFit="1"/>
    </xf>
    <xf numFmtId="0" fontId="53" fillId="14" borderId="0" xfId="0" applyFont="1" applyFill="1" applyBorder="1" applyAlignment="1">
      <alignment vertical="center" wrapText="1" shrinkToFit="1"/>
    </xf>
    <xf numFmtId="0" fontId="53" fillId="14" borderId="18" xfId="0" applyFont="1" applyFill="1" applyBorder="1" applyAlignment="1">
      <alignment vertical="center" wrapText="1" shrinkToFit="1"/>
    </xf>
    <xf numFmtId="0" fontId="51" fillId="4" borderId="22" xfId="0" applyFont="1" applyFill="1" applyBorder="1" applyAlignment="1">
      <alignment horizontal="left" vertical="center"/>
    </xf>
    <xf numFmtId="44" fontId="53" fillId="0" borderId="37" xfId="0" applyNumberFormat="1" applyFont="1" applyBorder="1" applyAlignment="1">
      <alignment horizontal="center" vertical="center" wrapText="1"/>
    </xf>
    <xf numFmtId="0" fontId="40" fillId="0" borderId="57" xfId="0" applyFont="1" applyBorder="1"/>
    <xf numFmtId="44" fontId="40" fillId="0" borderId="60" xfId="0" applyNumberFormat="1" applyFont="1" applyBorder="1" applyAlignment="1">
      <alignment horizontal="center" vertical="center"/>
    </xf>
    <xf numFmtId="0" fontId="40" fillId="0" borderId="104" xfId="0" applyFont="1" applyBorder="1"/>
    <xf numFmtId="4" fontId="3" fillId="0" borderId="39" xfId="0" applyNumberFormat="1" applyFont="1" applyBorder="1" applyAlignment="1">
      <alignment horizontal="center" vertical="center"/>
    </xf>
    <xf numFmtId="0" fontId="3" fillId="0" borderId="38" xfId="0" applyFont="1" applyBorder="1"/>
    <xf numFmtId="4" fontId="11" fillId="0" borderId="39" xfId="0" applyNumberFormat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4" fontId="16" fillId="0" borderId="39" xfId="0" applyNumberFormat="1" applyFont="1" applyBorder="1" applyAlignment="1">
      <alignment horizontal="center" vertical="center"/>
    </xf>
    <xf numFmtId="166" fontId="3" fillId="0" borderId="39" xfId="0" applyNumberFormat="1" applyFont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wrapText="1"/>
    </xf>
    <xf numFmtId="4" fontId="8" fillId="0" borderId="42" xfId="0" applyNumberFormat="1" applyFont="1" applyFill="1" applyBorder="1" applyAlignment="1">
      <alignment horizontal="center" vertical="center" wrapText="1"/>
    </xf>
    <xf numFmtId="0" fontId="53" fillId="0" borderId="0" xfId="0" applyFont="1" applyBorder="1" applyAlignment="1">
      <alignment horizontal="left" vertical="top" wrapText="1"/>
    </xf>
    <xf numFmtId="0" fontId="53" fillId="0" borderId="0" xfId="0" applyFont="1" applyBorder="1" applyAlignment="1">
      <alignment horizontal="center" vertical="center" wrapText="1"/>
    </xf>
    <xf numFmtId="2" fontId="40" fillId="0" borderId="0" xfId="0" applyNumberFormat="1" applyFont="1" applyBorder="1" applyAlignment="1">
      <alignment horizontal="center" vertical="center"/>
    </xf>
    <xf numFmtId="44" fontId="40" fillId="0" borderId="0" xfId="0" applyNumberFormat="1" applyFont="1" applyBorder="1" applyAlignment="1">
      <alignment horizontal="center" vertical="center"/>
    </xf>
    <xf numFmtId="44" fontId="40" fillId="0" borderId="18" xfId="0" applyNumberFormat="1" applyFont="1" applyBorder="1" applyAlignment="1">
      <alignment horizontal="center" vertical="center"/>
    </xf>
    <xf numFmtId="1" fontId="76" fillId="0" borderId="0" xfId="17" applyNumberFormat="1" applyFont="1" applyBorder="1" applyAlignment="1" applyProtection="1">
      <alignment horizontal="left" vertical="top"/>
      <protection locked="0"/>
    </xf>
    <xf numFmtId="1" fontId="77" fillId="0" borderId="17" xfId="17" applyNumberFormat="1" applyFont="1" applyBorder="1" applyAlignment="1" applyProtection="1">
      <alignment horizontal="center" vertical="top"/>
      <protection locked="0"/>
    </xf>
    <xf numFmtId="0" fontId="77" fillId="0" borderId="0" xfId="19" applyFont="1" applyBorder="1" applyAlignment="1" applyProtection="1">
      <alignment horizontal="left" vertical="top"/>
      <protection locked="0"/>
    </xf>
    <xf numFmtId="0" fontId="78" fillId="0" borderId="0" xfId="19" applyFont="1" applyBorder="1" applyAlignment="1" applyProtection="1">
      <alignment horizontal="left" vertical="top"/>
      <protection locked="0"/>
    </xf>
    <xf numFmtId="17" fontId="77" fillId="0" borderId="0" xfId="20" applyNumberFormat="1" applyFont="1" applyBorder="1" applyAlignment="1" applyProtection="1">
      <alignment horizontal="center" vertical="top"/>
      <protection locked="0"/>
    </xf>
    <xf numFmtId="0" fontId="78" fillId="0" borderId="18" xfId="19" applyFont="1" applyBorder="1" applyAlignment="1" applyProtection="1">
      <alignment horizontal="left" vertical="top"/>
      <protection locked="0"/>
    </xf>
    <xf numFmtId="0" fontId="78" fillId="0" borderId="17" xfId="19" applyFont="1" applyBorder="1" applyAlignment="1" applyProtection="1">
      <alignment horizontal="left" vertical="top"/>
      <protection locked="0"/>
    </xf>
    <xf numFmtId="1" fontId="78" fillId="0" borderId="17" xfId="19" applyNumberFormat="1" applyFont="1" applyBorder="1" applyAlignment="1" applyProtection="1">
      <alignment horizontal="right" vertical="top"/>
      <protection locked="0"/>
    </xf>
    <xf numFmtId="0" fontId="78" fillId="0" borderId="0" xfId="19" applyFont="1" applyBorder="1" applyAlignment="1" applyProtection="1">
      <alignment horizontal="center" vertical="top"/>
      <protection locked="0"/>
    </xf>
    <xf numFmtId="0" fontId="78" fillId="0" borderId="17" xfId="19" applyFont="1" applyBorder="1" applyAlignment="1" applyProtection="1">
      <alignment vertical="top"/>
      <protection locked="0"/>
    </xf>
    <xf numFmtId="0" fontId="78" fillId="0" borderId="0" xfId="19" applyFont="1" applyBorder="1" applyAlignment="1" applyProtection="1">
      <alignment vertical="top"/>
      <protection locked="0"/>
    </xf>
    <xf numFmtId="0" fontId="77" fillId="0" borderId="0" xfId="20" applyFont="1" applyBorder="1" applyAlignment="1" applyProtection="1">
      <alignment horizontal="left" vertical="top"/>
      <protection locked="0"/>
    </xf>
    <xf numFmtId="0" fontId="78" fillId="0" borderId="0" xfId="20" applyFont="1" applyBorder="1" applyAlignment="1" applyProtection="1">
      <alignment horizontal="center" vertical="top"/>
      <protection locked="0"/>
    </xf>
    <xf numFmtId="171" fontId="78" fillId="0" borderId="0" xfId="20" applyNumberFormat="1" applyFont="1" applyBorder="1" applyAlignment="1" applyProtection="1">
      <alignment horizontal="right" vertical="top"/>
      <protection locked="0"/>
    </xf>
    <xf numFmtId="2" fontId="78" fillId="0" borderId="0" xfId="20" applyNumberFormat="1" applyFont="1" applyBorder="1" applyAlignment="1" applyProtection="1">
      <alignment horizontal="right" vertical="top"/>
      <protection locked="0"/>
    </xf>
    <xf numFmtId="2" fontId="78" fillId="0" borderId="18" xfId="19" applyNumberFormat="1" applyFont="1" applyBorder="1" applyAlignment="1" applyProtection="1">
      <alignment horizontal="right" vertical="top"/>
      <protection locked="0"/>
    </xf>
    <xf numFmtId="1" fontId="78" fillId="0" borderId="17" xfId="20" applyNumberFormat="1" applyFont="1" applyBorder="1" applyAlignment="1" applyProtection="1">
      <alignment horizontal="right" vertical="top"/>
      <protection locked="0"/>
    </xf>
    <xf numFmtId="0" fontId="78" fillId="0" borderId="0" xfId="20" applyFont="1" applyBorder="1" applyAlignment="1" applyProtection="1">
      <alignment horizontal="left" vertical="top"/>
      <protection locked="0"/>
    </xf>
    <xf numFmtId="165" fontId="78" fillId="0" borderId="0" xfId="20" applyNumberFormat="1" applyFont="1" applyBorder="1" applyAlignment="1" applyProtection="1">
      <alignment horizontal="right" vertical="top"/>
      <protection locked="0"/>
    </xf>
    <xf numFmtId="165" fontId="78" fillId="0" borderId="18" xfId="19" applyNumberFormat="1" applyFont="1" applyBorder="1" applyAlignment="1" applyProtection="1">
      <alignment horizontal="right" vertical="top"/>
      <protection locked="0"/>
    </xf>
    <xf numFmtId="0" fontId="77" fillId="0" borderId="0" xfId="19" applyFont="1" applyBorder="1" applyAlignment="1" applyProtection="1">
      <alignment horizontal="right" vertical="top"/>
      <protection locked="0"/>
    </xf>
    <xf numFmtId="0" fontId="77" fillId="0" borderId="0" xfId="19" applyFont="1" applyBorder="1" applyAlignment="1" applyProtection="1">
      <alignment horizontal="center" vertical="top"/>
      <protection locked="0"/>
    </xf>
    <xf numFmtId="165" fontId="78" fillId="0" borderId="0" xfId="19" applyNumberFormat="1" applyFont="1" applyBorder="1" applyAlignment="1" applyProtection="1">
      <alignment horizontal="center" vertical="top"/>
      <protection locked="0"/>
    </xf>
    <xf numFmtId="165" fontId="77" fillId="0" borderId="0" xfId="19" applyNumberFormat="1" applyFont="1" applyBorder="1" applyAlignment="1" applyProtection="1">
      <alignment horizontal="center" vertical="top"/>
      <protection locked="0"/>
    </xf>
    <xf numFmtId="17" fontId="77" fillId="0" borderId="0" xfId="20" applyNumberFormat="1" applyFont="1" applyBorder="1" applyAlignment="1" applyProtection="1">
      <alignment horizontal="left" vertical="top"/>
      <protection locked="0"/>
    </xf>
    <xf numFmtId="0" fontId="77" fillId="5" borderId="38" xfId="20" applyFont="1" applyFill="1" applyBorder="1" applyAlignment="1" applyProtection="1">
      <alignment vertical="center"/>
      <protection locked="0"/>
    </xf>
    <xf numFmtId="0" fontId="77" fillId="5" borderId="1" xfId="20" applyFont="1" applyFill="1" applyBorder="1" applyAlignment="1" applyProtection="1">
      <alignment vertical="center"/>
      <protection locked="0"/>
    </xf>
    <xf numFmtId="0" fontId="78" fillId="5" borderId="1" xfId="20" applyFont="1" applyFill="1" applyBorder="1" applyAlignment="1" applyProtection="1">
      <alignment horizontal="center" vertical="center"/>
      <protection locked="0"/>
    </xf>
    <xf numFmtId="0" fontId="78" fillId="5" borderId="1" xfId="20" applyFont="1" applyFill="1" applyBorder="1" applyAlignment="1" applyProtection="1">
      <alignment horizontal="center" vertical="center" wrapText="1"/>
      <protection locked="0"/>
    </xf>
    <xf numFmtId="2" fontId="78" fillId="5" borderId="39" xfId="19" applyNumberFormat="1" applyFont="1" applyFill="1" applyBorder="1" applyAlignment="1" applyProtection="1">
      <alignment horizontal="right" vertical="center"/>
      <protection locked="0"/>
    </xf>
    <xf numFmtId="0" fontId="77" fillId="5" borderId="1" xfId="20" applyFont="1" applyFill="1" applyBorder="1" applyAlignment="1" applyProtection="1">
      <alignment horizontal="center" vertical="center"/>
      <protection locked="0"/>
    </xf>
    <xf numFmtId="2" fontId="78" fillId="5" borderId="39" xfId="19" applyNumberFormat="1" applyFont="1" applyFill="1" applyBorder="1" applyAlignment="1" applyProtection="1">
      <alignment horizontal="center" vertical="center"/>
      <protection locked="0"/>
    </xf>
    <xf numFmtId="1" fontId="78" fillId="0" borderId="38" xfId="20" applyNumberFormat="1" applyFont="1" applyBorder="1" applyAlignment="1" applyProtection="1">
      <alignment horizontal="center" vertical="top"/>
      <protection locked="0"/>
    </xf>
    <xf numFmtId="0" fontId="78" fillId="0" borderId="1" xfId="20" applyFont="1" applyBorder="1" applyAlignment="1" applyProtection="1">
      <alignment horizontal="center" vertical="top"/>
      <protection locked="0"/>
    </xf>
    <xf numFmtId="2" fontId="78" fillId="0" borderId="1" xfId="20" applyNumberFormat="1" applyFont="1" applyBorder="1" applyAlignment="1" applyProtection="1">
      <alignment horizontal="center" vertical="top"/>
      <protection locked="0"/>
    </xf>
    <xf numFmtId="1" fontId="78" fillId="0" borderId="38" xfId="20" applyNumberFormat="1" applyFont="1" applyBorder="1" applyAlignment="1" applyProtection="1">
      <alignment horizontal="right" vertical="top"/>
      <protection locked="0"/>
    </xf>
    <xf numFmtId="0" fontId="78" fillId="0" borderId="1" xfId="20" applyFont="1" applyBorder="1" applyAlignment="1" applyProtection="1">
      <alignment horizontal="left" vertical="top"/>
      <protection locked="0"/>
    </xf>
    <xf numFmtId="171" fontId="78" fillId="0" borderId="1" xfId="20" applyNumberFormat="1" applyFont="1" applyBorder="1" applyAlignment="1" applyProtection="1">
      <alignment horizontal="right" vertical="top"/>
      <protection locked="0"/>
    </xf>
    <xf numFmtId="2" fontId="78" fillId="0" borderId="1" xfId="20" applyNumberFormat="1" applyFont="1" applyBorder="1" applyAlignment="1" applyProtection="1">
      <alignment horizontal="right" vertical="top"/>
      <protection locked="0"/>
    </xf>
    <xf numFmtId="2" fontId="78" fillId="0" borderId="39" xfId="19" applyNumberFormat="1" applyFont="1" applyBorder="1" applyAlignment="1" applyProtection="1">
      <alignment horizontal="right" vertical="top"/>
      <protection locked="0"/>
    </xf>
    <xf numFmtId="165" fontId="77" fillId="5" borderId="39" xfId="19" applyNumberFormat="1" applyFont="1" applyFill="1" applyBorder="1" applyAlignment="1" applyProtection="1">
      <alignment horizontal="center" vertical="top"/>
      <protection locked="0"/>
    </xf>
    <xf numFmtId="2" fontId="78" fillId="0" borderId="0" xfId="19" applyNumberFormat="1" applyFont="1" applyBorder="1" applyAlignment="1" applyProtection="1">
      <alignment horizontal="center" vertical="top"/>
      <protection locked="0"/>
    </xf>
    <xf numFmtId="17" fontId="78" fillId="0" borderId="0" xfId="20" applyNumberFormat="1" applyFont="1" applyBorder="1" applyAlignment="1" applyProtection="1">
      <alignment horizontal="left" vertical="top"/>
      <protection locked="0"/>
    </xf>
    <xf numFmtId="1" fontId="78" fillId="0" borderId="0" xfId="20" applyNumberFormat="1" applyFont="1" applyBorder="1" applyAlignment="1" applyProtection="1">
      <alignment horizontal="center" vertical="top"/>
      <protection locked="0"/>
    </xf>
    <xf numFmtId="0" fontId="77" fillId="0" borderId="0" xfId="20" applyFont="1" applyBorder="1" applyAlignment="1" applyProtection="1">
      <alignment horizontal="center" vertical="top"/>
      <protection locked="0"/>
    </xf>
    <xf numFmtId="0" fontId="79" fillId="0" borderId="0" xfId="20" applyFont="1" applyBorder="1" applyAlignment="1" applyProtection="1">
      <alignment horizontal="center" vertical="top"/>
      <protection locked="0"/>
    </xf>
    <xf numFmtId="171" fontId="79" fillId="0" borderId="0" xfId="20" applyNumberFormat="1" applyFont="1" applyBorder="1" applyAlignment="1" applyProtection="1">
      <alignment horizontal="right" vertical="top"/>
      <protection locked="0"/>
    </xf>
    <xf numFmtId="2" fontId="79" fillId="0" borderId="0" xfId="20" applyNumberFormat="1" applyFont="1" applyBorder="1" applyAlignment="1" applyProtection="1">
      <alignment horizontal="right" vertical="top"/>
      <protection locked="0"/>
    </xf>
    <xf numFmtId="2" fontId="79" fillId="0" borderId="18" xfId="19" applyNumberFormat="1" applyFont="1" applyBorder="1" applyAlignment="1" applyProtection="1">
      <alignment horizontal="right" vertical="top"/>
      <protection locked="0"/>
    </xf>
    <xf numFmtId="0" fontId="79" fillId="0" borderId="0" xfId="20" applyFont="1" applyBorder="1" applyAlignment="1" applyProtection="1">
      <alignment horizontal="left" vertical="top"/>
      <protection locked="0"/>
    </xf>
    <xf numFmtId="1" fontId="79" fillId="0" borderId="17" xfId="20" applyNumberFormat="1" applyFont="1" applyBorder="1" applyAlignment="1" applyProtection="1">
      <alignment horizontal="right" vertical="top"/>
      <protection locked="0"/>
    </xf>
    <xf numFmtId="0" fontId="80" fillId="0" borderId="0" xfId="19" applyFont="1" applyBorder="1" applyAlignment="1" applyProtection="1">
      <alignment horizontal="right" vertical="top"/>
      <protection locked="0"/>
    </xf>
    <xf numFmtId="0" fontId="80" fillId="0" borderId="0" xfId="19" applyFont="1" applyBorder="1" applyAlignment="1" applyProtection="1">
      <alignment horizontal="left" vertical="top"/>
      <protection locked="0"/>
    </xf>
    <xf numFmtId="0" fontId="80" fillId="0" borderId="0" xfId="19" applyFont="1" applyBorder="1" applyAlignment="1" applyProtection="1">
      <alignment horizontal="center" vertical="top"/>
      <protection locked="0"/>
    </xf>
    <xf numFmtId="0" fontId="81" fillId="0" borderId="17" xfId="19" applyFont="1" applyBorder="1" applyAlignment="1" applyProtection="1">
      <alignment horizontal="left" vertical="top"/>
      <protection locked="0"/>
    </xf>
    <xf numFmtId="1" fontId="15" fillId="0" borderId="17" xfId="20" applyNumberFormat="1" applyFont="1" applyBorder="1" applyAlignment="1" applyProtection="1">
      <alignment horizontal="right" vertical="top"/>
      <protection locked="0"/>
    </xf>
    <xf numFmtId="1" fontId="81" fillId="0" borderId="17" xfId="20" applyNumberFormat="1" applyFont="1" applyBorder="1" applyAlignment="1" applyProtection="1">
      <alignment horizontal="right" vertical="top"/>
      <protection locked="0"/>
    </xf>
    <xf numFmtId="0" fontId="84" fillId="0" borderId="16" xfId="0" applyFont="1" applyBorder="1" applyAlignment="1" applyProtection="1">
      <alignment horizontal="left" vertical="center" wrapText="1"/>
      <protection locked="0"/>
    </xf>
    <xf numFmtId="0" fontId="62" fillId="0" borderId="0" xfId="0" applyFont="1" applyBorder="1" applyAlignment="1">
      <alignment vertical="center"/>
    </xf>
    <xf numFmtId="0" fontId="62" fillId="0" borderId="0" xfId="0" applyFont="1" applyBorder="1" applyAlignment="1">
      <alignment horizontal="center" vertical="center"/>
    </xf>
    <xf numFmtId="0" fontId="40" fillId="0" borderId="0" xfId="0" applyFont="1" applyBorder="1"/>
    <xf numFmtId="0" fontId="54" fillId="0" borderId="0" xfId="0" applyFont="1"/>
    <xf numFmtId="0" fontId="6" fillId="0" borderId="0" xfId="0" applyFont="1" applyBorder="1" applyAlignment="1">
      <alignment horizontal="center" vertical="center"/>
    </xf>
    <xf numFmtId="0" fontId="78" fillId="0" borderId="0" xfId="20" applyFont="1" applyBorder="1" applyAlignment="1" applyProtection="1">
      <alignment horizontal="left" vertical="center"/>
      <protection locked="0"/>
    </xf>
    <xf numFmtId="0" fontId="0" fillId="0" borderId="0" xfId="0"/>
    <xf numFmtId="0" fontId="0" fillId="0" borderId="0" xfId="0"/>
    <xf numFmtId="4" fontId="62" fillId="0" borderId="0" xfId="0" applyNumberFormat="1" applyFont="1" applyAlignment="1">
      <alignment horizontal="center" vertical="center"/>
    </xf>
    <xf numFmtId="0" fontId="0" fillId="0" borderId="0" xfId="0"/>
    <xf numFmtId="166" fontId="78" fillId="0" borderId="0" xfId="8" applyNumberFormat="1" applyFont="1" applyBorder="1" applyAlignment="1" applyProtection="1">
      <alignment horizontal="right" vertical="top"/>
      <protection locked="0"/>
    </xf>
    <xf numFmtId="165" fontId="6" fillId="0" borderId="0" xfId="0" applyNumberFormat="1" applyFont="1" applyBorder="1"/>
    <xf numFmtId="0" fontId="87" fillId="5" borderId="0" xfId="0" applyFont="1" applyFill="1" applyAlignment="1">
      <alignment wrapText="1"/>
    </xf>
    <xf numFmtId="0" fontId="87" fillId="5" borderId="18" xfId="0" applyFont="1" applyFill="1" applyBorder="1" applyAlignment="1">
      <alignment wrapText="1"/>
    </xf>
    <xf numFmtId="43" fontId="88" fillId="0" borderId="0" xfId="4" applyFont="1" applyFill="1" applyBorder="1" applyAlignment="1">
      <alignment horizontal="center" vertical="center" wrapText="1"/>
    </xf>
    <xf numFmtId="4" fontId="88" fillId="0" borderId="0" xfId="4" applyNumberFormat="1" applyFont="1" applyFill="1" applyBorder="1" applyAlignment="1">
      <alignment horizontal="center" vertical="center" wrapText="1"/>
    </xf>
    <xf numFmtId="165" fontId="78" fillId="0" borderId="0" xfId="19" applyNumberFormat="1" applyFont="1" applyBorder="1" applyAlignment="1" applyProtection="1">
      <alignment horizontal="left" vertical="top"/>
      <protection locked="0"/>
    </xf>
    <xf numFmtId="0" fontId="78" fillId="0" borderId="0" xfId="20" applyFont="1" applyBorder="1" applyAlignment="1" applyProtection="1">
      <alignment horizontal="center" vertical="center"/>
      <protection locked="0"/>
    </xf>
    <xf numFmtId="0" fontId="84" fillId="5" borderId="23" xfId="0" applyFont="1" applyFill="1" applyBorder="1" applyAlignment="1" applyProtection="1">
      <alignment horizontal="center" vertical="center"/>
      <protection locked="0"/>
    </xf>
    <xf numFmtId="0" fontId="84" fillId="5" borderId="29" xfId="0" applyFont="1" applyFill="1" applyBorder="1" applyAlignment="1" applyProtection="1">
      <alignment horizontal="center" vertical="center"/>
      <protection locked="0"/>
    </xf>
    <xf numFmtId="0" fontId="84" fillId="5" borderId="46" xfId="0" applyFont="1" applyFill="1" applyBorder="1" applyAlignment="1" applyProtection="1">
      <alignment horizontal="center" vertical="center"/>
      <protection locked="0"/>
    </xf>
    <xf numFmtId="0" fontId="84" fillId="0" borderId="15" xfId="0" applyFont="1" applyBorder="1" applyAlignment="1" applyProtection="1">
      <alignment horizontal="left" vertical="center" wrapText="1"/>
      <protection locked="0"/>
    </xf>
    <xf numFmtId="0" fontId="84" fillId="0" borderId="0" xfId="0" applyFont="1" applyAlignment="1" applyProtection="1">
      <alignment horizontal="left" vertical="center" wrapText="1"/>
      <protection locked="0"/>
    </xf>
    <xf numFmtId="0" fontId="84" fillId="0" borderId="18" xfId="0" applyFont="1" applyBorder="1" applyAlignment="1" applyProtection="1">
      <alignment horizontal="left" vertical="center" wrapText="1"/>
      <protection locked="0"/>
    </xf>
    <xf numFmtId="165" fontId="58" fillId="14" borderId="0" xfId="0" applyNumberFormat="1" applyFont="1" applyFill="1" applyBorder="1" applyAlignment="1">
      <alignment horizontal="center" vertical="center" wrapText="1"/>
    </xf>
    <xf numFmtId="165" fontId="58" fillId="14" borderId="68" xfId="0" applyNumberFormat="1" applyFont="1" applyFill="1" applyBorder="1" applyAlignment="1">
      <alignment horizontal="center" vertical="center" wrapText="1"/>
    </xf>
    <xf numFmtId="10" fontId="59" fillId="14" borderId="69" xfId="8" applyNumberFormat="1" applyFont="1" applyFill="1" applyBorder="1" applyAlignment="1">
      <alignment horizontal="center" vertical="center"/>
    </xf>
    <xf numFmtId="10" fontId="59" fillId="14" borderId="70" xfId="8" applyNumberFormat="1" applyFont="1" applyFill="1" applyBorder="1" applyAlignment="1">
      <alignment horizontal="center" vertical="center"/>
    </xf>
    <xf numFmtId="10" fontId="59" fillId="14" borderId="59" xfId="8" applyNumberFormat="1" applyFont="1" applyFill="1" applyBorder="1" applyAlignment="1">
      <alignment horizontal="center" vertical="center"/>
    </xf>
    <xf numFmtId="0" fontId="52" fillId="14" borderId="17" xfId="0" applyFont="1" applyFill="1" applyBorder="1" applyAlignment="1">
      <alignment horizontal="center" vertical="center" wrapText="1"/>
    </xf>
    <xf numFmtId="0" fontId="52" fillId="14" borderId="0" xfId="0" applyFont="1" applyFill="1" applyBorder="1" applyAlignment="1">
      <alignment horizontal="center" vertical="center" wrapText="1"/>
    </xf>
    <xf numFmtId="0" fontId="52" fillId="14" borderId="18" xfId="0" applyFont="1" applyFill="1" applyBorder="1" applyAlignment="1">
      <alignment horizontal="center" vertical="center" wrapText="1"/>
    </xf>
    <xf numFmtId="0" fontId="53" fillId="14" borderId="17" xfId="0" applyFont="1" applyFill="1" applyBorder="1" applyAlignment="1">
      <alignment horizontal="center" vertical="center" wrapText="1"/>
    </xf>
    <xf numFmtId="0" fontId="53" fillId="14" borderId="0" xfId="0" applyFont="1" applyFill="1" applyBorder="1" applyAlignment="1">
      <alignment horizontal="center" vertical="center" wrapText="1"/>
    </xf>
    <xf numFmtId="0" fontId="53" fillId="14" borderId="18" xfId="0" applyFont="1" applyFill="1" applyBorder="1" applyAlignment="1">
      <alignment horizontal="center" vertical="center" wrapText="1"/>
    </xf>
    <xf numFmtId="4" fontId="53" fillId="14" borderId="0" xfId="0" applyNumberFormat="1" applyFont="1" applyFill="1" applyBorder="1" applyAlignment="1">
      <alignment horizontal="right" vertical="center"/>
    </xf>
    <xf numFmtId="165" fontId="58" fillId="14" borderId="67" xfId="0" applyNumberFormat="1" applyFont="1" applyFill="1" applyBorder="1" applyAlignment="1">
      <alignment horizontal="center" vertical="center" wrapText="1"/>
    </xf>
    <xf numFmtId="0" fontId="53" fillId="14" borderId="17" xfId="0" applyFont="1" applyFill="1" applyBorder="1" applyAlignment="1">
      <alignment horizontal="center" vertical="center"/>
    </xf>
    <xf numFmtId="0" fontId="53" fillId="14" borderId="0" xfId="0" applyFont="1" applyFill="1" applyBorder="1" applyAlignment="1">
      <alignment horizontal="center" vertical="center"/>
    </xf>
    <xf numFmtId="0" fontId="53" fillId="14" borderId="66" xfId="0" applyFont="1" applyFill="1" applyBorder="1" applyAlignment="1">
      <alignment horizontal="center" vertical="center"/>
    </xf>
    <xf numFmtId="0" fontId="53" fillId="14" borderId="98" xfId="0" applyFont="1" applyFill="1" applyBorder="1" applyAlignment="1">
      <alignment horizontal="center" vertical="center"/>
    </xf>
    <xf numFmtId="0" fontId="53" fillId="2" borderId="14" xfId="0" applyFont="1" applyFill="1" applyBorder="1" applyAlignment="1">
      <alignment horizontal="center" vertical="center"/>
    </xf>
    <xf numFmtId="0" fontId="53" fillId="2" borderId="16" xfId="0" applyFont="1" applyFill="1" applyBorder="1" applyAlignment="1">
      <alignment horizontal="center" vertical="center"/>
    </xf>
    <xf numFmtId="0" fontId="53" fillId="2" borderId="17" xfId="0" applyFont="1" applyFill="1" applyBorder="1" applyAlignment="1">
      <alignment horizontal="center" vertical="center"/>
    </xf>
    <xf numFmtId="0" fontId="53" fillId="2" borderId="18" xfId="0" applyFont="1" applyFill="1" applyBorder="1" applyAlignment="1">
      <alignment horizontal="center" vertical="center"/>
    </xf>
    <xf numFmtId="0" fontId="53" fillId="2" borderId="19" xfId="0" applyFont="1" applyFill="1" applyBorder="1" applyAlignment="1">
      <alignment horizontal="center" vertical="center"/>
    </xf>
    <xf numFmtId="0" fontId="53" fillId="2" borderId="21" xfId="0" applyFont="1" applyFill="1" applyBorder="1" applyAlignment="1">
      <alignment horizontal="center" vertical="center"/>
    </xf>
    <xf numFmtId="10" fontId="59" fillId="14" borderId="99" xfId="8" applyNumberFormat="1" applyFont="1" applyFill="1" applyBorder="1" applyAlignment="1">
      <alignment horizontal="center" vertical="center"/>
    </xf>
    <xf numFmtId="0" fontId="57" fillId="14" borderId="0" xfId="0" applyFont="1" applyFill="1" applyBorder="1" applyAlignment="1">
      <alignment horizontal="center" vertical="center" wrapText="1"/>
    </xf>
    <xf numFmtId="0" fontId="57" fillId="14" borderId="68" xfId="0" applyFont="1" applyFill="1" applyBorder="1" applyAlignment="1">
      <alignment horizontal="center" vertical="center" wrapText="1"/>
    </xf>
    <xf numFmtId="0" fontId="57" fillId="14" borderId="67" xfId="0" applyFont="1" applyFill="1" applyBorder="1" applyAlignment="1">
      <alignment horizontal="center" vertical="center" wrapText="1"/>
    </xf>
    <xf numFmtId="0" fontId="57" fillId="14" borderId="18" xfId="0" applyFont="1" applyFill="1" applyBorder="1" applyAlignment="1">
      <alignment horizontal="center" vertical="center" wrapText="1"/>
    </xf>
    <xf numFmtId="165" fontId="58" fillId="14" borderId="18" xfId="0" applyNumberFormat="1" applyFont="1" applyFill="1" applyBorder="1" applyAlignment="1">
      <alignment horizontal="center" vertical="center" wrapText="1"/>
    </xf>
    <xf numFmtId="4" fontId="87" fillId="0" borderId="0" xfId="0" applyNumberFormat="1" applyFont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5" fontId="78" fillId="0" borderId="1" xfId="20" quotePrefix="1" applyNumberFormat="1" applyFont="1" applyBorder="1" applyAlignment="1" applyProtection="1">
      <alignment horizontal="center" vertical="top"/>
      <protection locked="0"/>
    </xf>
    <xf numFmtId="0" fontId="78" fillId="0" borderId="2" xfId="20" applyFont="1" applyBorder="1" applyAlignment="1" applyProtection="1">
      <alignment horizontal="left" vertical="top"/>
      <protection locked="0"/>
    </xf>
    <xf numFmtId="1" fontId="77" fillId="5" borderId="49" xfId="20" applyNumberFormat="1" applyFont="1" applyFill="1" applyBorder="1" applyAlignment="1" applyProtection="1">
      <alignment horizontal="right" vertical="top"/>
      <protection locked="0"/>
    </xf>
    <xf numFmtId="1" fontId="77" fillId="5" borderId="3" xfId="20" applyNumberFormat="1" applyFont="1" applyFill="1" applyBorder="1" applyAlignment="1" applyProtection="1">
      <alignment horizontal="right" vertical="top"/>
      <protection locked="0"/>
    </xf>
    <xf numFmtId="1" fontId="77" fillId="5" borderId="4" xfId="20" applyNumberFormat="1" applyFont="1" applyFill="1" applyBorder="1" applyAlignment="1" applyProtection="1">
      <alignment horizontal="right" vertical="top"/>
      <protection locked="0"/>
    </xf>
    <xf numFmtId="171" fontId="78" fillId="5" borderId="2" xfId="20" applyNumberFormat="1" applyFont="1" applyFill="1" applyBorder="1" applyAlignment="1" applyProtection="1">
      <alignment horizontal="center" vertical="center" wrapText="1"/>
      <protection locked="0"/>
    </xf>
    <xf numFmtId="171" fontId="78" fillId="5" borderId="4" xfId="20" applyNumberFormat="1" applyFont="1" applyFill="1" applyBorder="1" applyAlignment="1" applyProtection="1">
      <alignment horizontal="center" vertical="center" wrapText="1"/>
      <protection locked="0"/>
    </xf>
    <xf numFmtId="0" fontId="78" fillId="0" borderId="3" xfId="20" applyFont="1" applyBorder="1" applyAlignment="1" applyProtection="1">
      <alignment horizontal="left" vertical="top"/>
      <protection locked="0"/>
    </xf>
    <xf numFmtId="0" fontId="78" fillId="0" borderId="4" xfId="20" applyFont="1" applyBorder="1" applyAlignment="1" applyProtection="1">
      <alignment horizontal="left" vertical="top"/>
      <protection locked="0"/>
    </xf>
    <xf numFmtId="0" fontId="77" fillId="5" borderId="49" xfId="20" applyFont="1" applyFill="1" applyBorder="1" applyAlignment="1" applyProtection="1">
      <alignment horizontal="left" vertical="center"/>
      <protection locked="0"/>
    </xf>
    <xf numFmtId="0" fontId="77" fillId="5" borderId="3" xfId="20" applyFont="1" applyFill="1" applyBorder="1" applyAlignment="1" applyProtection="1">
      <alignment horizontal="left" vertical="center"/>
      <protection locked="0"/>
    </xf>
    <xf numFmtId="0" fontId="77" fillId="5" borderId="4" xfId="20" applyFont="1" applyFill="1" applyBorder="1" applyAlignment="1" applyProtection="1">
      <alignment horizontal="left" vertical="center"/>
      <protection locked="0"/>
    </xf>
    <xf numFmtId="0" fontId="77" fillId="5" borderId="2" xfId="20" applyFont="1" applyFill="1" applyBorder="1" applyAlignment="1" applyProtection="1">
      <alignment horizontal="center" vertical="center"/>
      <protection locked="0"/>
    </xf>
    <xf numFmtId="0" fontId="77" fillId="5" borderId="3" xfId="20" applyFont="1" applyFill="1" applyBorder="1" applyAlignment="1" applyProtection="1">
      <alignment horizontal="center" vertical="center"/>
      <protection locked="0"/>
    </xf>
    <xf numFmtId="0" fontId="77" fillId="5" borderId="4" xfId="20" applyFont="1" applyFill="1" applyBorder="1" applyAlignment="1" applyProtection="1">
      <alignment horizontal="center" vertical="center"/>
      <protection locked="0"/>
    </xf>
    <xf numFmtId="171" fontId="78" fillId="5" borderId="1" xfId="20" applyNumberFormat="1" applyFont="1" applyFill="1" applyBorder="1" applyAlignment="1" applyProtection="1">
      <alignment horizontal="center" vertical="center" wrapText="1"/>
      <protection locked="0"/>
    </xf>
    <xf numFmtId="2" fontId="77" fillId="4" borderId="23" xfId="18" applyNumberFormat="1" applyFont="1" applyFill="1" applyBorder="1" applyAlignment="1" applyProtection="1">
      <alignment horizontal="center" vertical="top"/>
      <protection locked="0"/>
    </xf>
    <xf numFmtId="2" fontId="77" fillId="4" borderId="29" xfId="18" applyNumberFormat="1" applyFont="1" applyFill="1" applyBorder="1" applyAlignment="1" applyProtection="1">
      <alignment horizontal="center" vertical="top"/>
      <protection locked="0"/>
    </xf>
    <xf numFmtId="2" fontId="77" fillId="4" borderId="46" xfId="18" applyNumberFormat="1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right"/>
    </xf>
    <xf numFmtId="0" fontId="0" fillId="0" borderId="20" xfId="0" applyBorder="1" applyAlignment="1">
      <alignment horizontal="right"/>
    </xf>
    <xf numFmtId="165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41" fillId="9" borderId="14" xfId="15" applyFont="1" applyFill="1" applyBorder="1" applyAlignment="1">
      <alignment horizontal="center" vertical="center"/>
    </xf>
    <xf numFmtId="0" fontId="41" fillId="9" borderId="15" xfId="15" applyFont="1" applyFill="1" applyBorder="1" applyAlignment="1">
      <alignment horizontal="center" vertical="center"/>
    </xf>
    <xf numFmtId="0" fontId="41" fillId="9" borderId="16" xfId="15" applyFont="1" applyFill="1" applyBorder="1" applyAlignment="1">
      <alignment horizontal="center" vertical="center"/>
    </xf>
    <xf numFmtId="0" fontId="43" fillId="0" borderId="0" xfId="15" applyFont="1" applyAlignment="1">
      <alignment horizontal="left" vertical="center" wrapText="1"/>
    </xf>
    <xf numFmtId="0" fontId="43" fillId="0" borderId="18" xfId="15" applyFont="1" applyBorder="1" applyAlignment="1">
      <alignment horizontal="left" vertical="center" wrapText="1"/>
    </xf>
    <xf numFmtId="0" fontId="43" fillId="0" borderId="0" xfId="15" applyFont="1" applyAlignment="1">
      <alignment horizontal="justify" vertical="center" wrapText="1"/>
    </xf>
    <xf numFmtId="0" fontId="43" fillId="0" borderId="18" xfId="15" applyFont="1" applyBorder="1" applyAlignment="1">
      <alignment horizontal="justify" vertical="center" wrapText="1"/>
    </xf>
    <xf numFmtId="10" fontId="0" fillId="14" borderId="0" xfId="0" applyNumberFormat="1" applyFill="1" applyAlignment="1">
      <alignment horizontal="center"/>
    </xf>
    <xf numFmtId="0" fontId="60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165" fontId="0" fillId="14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0" fontId="0" fillId="14" borderId="0" xfId="0" applyFill="1" applyAlignment="1">
      <alignment horizontal="right"/>
    </xf>
    <xf numFmtId="0" fontId="0" fillId="14" borderId="0" xfId="0" applyFill="1" applyAlignment="1">
      <alignment horizontal="center" wrapText="1"/>
    </xf>
    <xf numFmtId="165" fontId="0" fillId="14" borderId="0" xfId="0" applyNumberFormat="1" applyFill="1" applyAlignment="1">
      <alignment horizontal="center" vertical="center"/>
    </xf>
    <xf numFmtId="0" fontId="16" fillId="14" borderId="0" xfId="0" applyFont="1" applyFill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4" fontId="62" fillId="2" borderId="0" xfId="0" applyNumberFormat="1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10" fontId="65" fillId="14" borderId="73" xfId="5" applyNumberFormat="1" applyFont="1" applyFill="1" applyBorder="1" applyAlignment="1">
      <alignment horizontal="right" vertical="center"/>
    </xf>
    <xf numFmtId="10" fontId="65" fillId="14" borderId="72" xfId="5" applyNumberFormat="1" applyFont="1" applyFill="1" applyBorder="1" applyAlignment="1">
      <alignment horizontal="right" vertical="center"/>
    </xf>
    <xf numFmtId="10" fontId="65" fillId="14" borderId="58" xfId="5" applyNumberFormat="1" applyFont="1" applyFill="1" applyBorder="1" applyAlignment="1">
      <alignment horizontal="right" vertical="center"/>
    </xf>
    <xf numFmtId="4" fontId="63" fillId="11" borderId="85" xfId="0" applyNumberFormat="1" applyFont="1" applyFill="1" applyBorder="1" applyAlignment="1">
      <alignment horizontal="center" vertical="center" wrapText="1"/>
    </xf>
    <xf numFmtId="4" fontId="63" fillId="11" borderId="71" xfId="0" applyNumberFormat="1" applyFont="1" applyFill="1" applyBorder="1" applyAlignment="1">
      <alignment horizontal="center" vertical="center" wrapText="1"/>
    </xf>
    <xf numFmtId="4" fontId="63" fillId="11" borderId="86" xfId="0" applyNumberFormat="1" applyFont="1" applyFill="1" applyBorder="1" applyAlignment="1">
      <alignment horizontal="center" vertical="center" wrapText="1"/>
    </xf>
    <xf numFmtId="4" fontId="63" fillId="17" borderId="61" xfId="0" applyNumberFormat="1" applyFont="1" applyFill="1" applyBorder="1" applyAlignment="1">
      <alignment horizontal="center" vertical="center" wrapText="1"/>
    </xf>
    <xf numFmtId="4" fontId="63" fillId="17" borderId="75" xfId="0" applyNumberFormat="1" applyFont="1" applyFill="1" applyBorder="1" applyAlignment="1">
      <alignment horizontal="center" vertical="center" wrapText="1"/>
    </xf>
    <xf numFmtId="4" fontId="63" fillId="17" borderId="84" xfId="0" applyNumberFormat="1" applyFont="1" applyFill="1" applyBorder="1" applyAlignment="1">
      <alignment horizontal="center" vertical="center" wrapText="1"/>
    </xf>
    <xf numFmtId="10" fontId="63" fillId="11" borderId="88" xfId="0" applyNumberFormat="1" applyFont="1" applyFill="1" applyBorder="1" applyAlignment="1">
      <alignment horizontal="center" vertical="center" wrapText="1"/>
    </xf>
    <xf numFmtId="10" fontId="63" fillId="11" borderId="89" xfId="0" applyNumberFormat="1" applyFont="1" applyFill="1" applyBorder="1" applyAlignment="1">
      <alignment horizontal="center" vertical="center" wrapText="1"/>
    </xf>
    <xf numFmtId="10" fontId="63" fillId="11" borderId="90" xfId="0" applyNumberFormat="1" applyFont="1" applyFill="1" applyBorder="1" applyAlignment="1">
      <alignment horizontal="center" vertical="center" wrapText="1"/>
    </xf>
    <xf numFmtId="10" fontId="63" fillId="17" borderId="91" xfId="0" applyNumberFormat="1" applyFont="1" applyFill="1" applyBorder="1" applyAlignment="1">
      <alignment horizontal="center" vertical="center" wrapText="1"/>
    </xf>
    <xf numFmtId="10" fontId="63" fillId="17" borderId="93" xfId="0" applyNumberFormat="1" applyFont="1" applyFill="1" applyBorder="1" applyAlignment="1">
      <alignment horizontal="center" vertical="center" wrapText="1"/>
    </xf>
    <xf numFmtId="10" fontId="63" fillId="17" borderId="92" xfId="0" applyNumberFormat="1" applyFont="1" applyFill="1" applyBorder="1" applyAlignment="1">
      <alignment horizontal="center" vertical="center" wrapText="1"/>
    </xf>
    <xf numFmtId="10" fontId="62" fillId="2" borderId="58" xfId="5" applyNumberFormat="1" applyFont="1" applyFill="1" applyBorder="1" applyAlignment="1">
      <alignment horizontal="right" vertical="center"/>
    </xf>
    <xf numFmtId="10" fontId="62" fillId="2" borderId="61" xfId="5" applyNumberFormat="1" applyFont="1" applyFill="1" applyBorder="1" applyAlignment="1">
      <alignment horizontal="right" vertical="center"/>
    </xf>
    <xf numFmtId="4" fontId="62" fillId="14" borderId="73" xfId="0" applyNumberFormat="1" applyFont="1" applyFill="1" applyBorder="1" applyAlignment="1">
      <alignment horizontal="center" vertical="center" wrapText="1"/>
    </xf>
    <xf numFmtId="4" fontId="62" fillId="14" borderId="72" xfId="0" applyNumberFormat="1" applyFont="1" applyFill="1" applyBorder="1" applyAlignment="1">
      <alignment horizontal="center" vertical="center" wrapText="1"/>
    </xf>
    <xf numFmtId="4" fontId="62" fillId="14" borderId="58" xfId="0" applyNumberFormat="1" applyFont="1" applyFill="1" applyBorder="1" applyAlignment="1">
      <alignment horizontal="center" vertical="center" wrapText="1"/>
    </xf>
    <xf numFmtId="4" fontId="62" fillId="14" borderId="13" xfId="0" applyNumberFormat="1" applyFont="1" applyFill="1" applyBorder="1" applyAlignment="1">
      <alignment horizontal="center" vertical="center" wrapText="1"/>
    </xf>
    <xf numFmtId="4" fontId="62" fillId="14" borderId="66" xfId="0" applyNumberFormat="1" applyFont="1" applyFill="1" applyBorder="1" applyAlignment="1">
      <alignment horizontal="center" vertical="center" wrapText="1"/>
    </xf>
    <xf numFmtId="4" fontId="62" fillId="14" borderId="67" xfId="0" applyNumberFormat="1" applyFont="1" applyFill="1" applyBorder="1" applyAlignment="1">
      <alignment horizontal="center" vertical="center" wrapText="1"/>
    </xf>
    <xf numFmtId="4" fontId="62" fillId="14" borderId="0" xfId="0" applyNumberFormat="1" applyFont="1" applyFill="1" applyAlignment="1">
      <alignment horizontal="center" vertical="center" wrapText="1"/>
    </xf>
    <xf numFmtId="4" fontId="62" fillId="14" borderId="69" xfId="0" applyNumberFormat="1" applyFont="1" applyFill="1" applyBorder="1" applyAlignment="1">
      <alignment horizontal="center" vertical="center" wrapText="1"/>
    </xf>
    <xf numFmtId="4" fontId="62" fillId="14" borderId="70" xfId="0" applyNumberFormat="1" applyFont="1" applyFill="1" applyBorder="1" applyAlignment="1">
      <alignment horizontal="center" vertical="center" wrapText="1"/>
    </xf>
    <xf numFmtId="4" fontId="65" fillId="14" borderId="65" xfId="0" applyNumberFormat="1" applyFont="1" applyFill="1" applyBorder="1" applyAlignment="1">
      <alignment horizontal="right" vertical="center"/>
    </xf>
    <xf numFmtId="4" fontId="65" fillId="14" borderId="68" xfId="0" applyNumberFormat="1" applyFont="1" applyFill="1" applyBorder="1" applyAlignment="1">
      <alignment horizontal="right" vertical="center"/>
    </xf>
    <xf numFmtId="4" fontId="65" fillId="14" borderId="59" xfId="0" applyNumberFormat="1" applyFont="1" applyFill="1" applyBorder="1" applyAlignment="1">
      <alignment horizontal="right" vertical="center"/>
    </xf>
    <xf numFmtId="4" fontId="65" fillId="14" borderId="73" xfId="0" applyNumberFormat="1" applyFont="1" applyFill="1" applyBorder="1" applyAlignment="1">
      <alignment horizontal="right" vertical="center"/>
    </xf>
    <xf numFmtId="4" fontId="65" fillId="14" borderId="72" xfId="0" applyNumberFormat="1" applyFont="1" applyFill="1" applyBorder="1" applyAlignment="1">
      <alignment horizontal="right" vertical="center"/>
    </xf>
    <xf numFmtId="4" fontId="65" fillId="14" borderId="58" xfId="0" applyNumberFormat="1" applyFont="1" applyFill="1" applyBorder="1" applyAlignment="1">
      <alignment horizontal="right" vertical="center"/>
    </xf>
    <xf numFmtId="10" fontId="62" fillId="14" borderId="73" xfId="5" applyNumberFormat="1" applyFont="1" applyFill="1" applyBorder="1" applyAlignment="1">
      <alignment horizontal="right" vertical="center"/>
    </xf>
    <xf numFmtId="10" fontId="62" fillId="14" borderId="72" xfId="5" applyNumberFormat="1" applyFont="1" applyFill="1" applyBorder="1" applyAlignment="1">
      <alignment horizontal="right" vertical="center"/>
    </xf>
    <xf numFmtId="10" fontId="62" fillId="14" borderId="58" xfId="5" applyNumberFormat="1" applyFont="1" applyFill="1" applyBorder="1" applyAlignment="1">
      <alignment horizontal="right" vertical="center"/>
    </xf>
    <xf numFmtId="4" fontId="65" fillId="2" borderId="58" xfId="0" applyNumberFormat="1" applyFont="1" applyFill="1" applyBorder="1" applyAlignment="1">
      <alignment horizontal="center" vertical="center"/>
    </xf>
    <xf numFmtId="4" fontId="65" fillId="2" borderId="61" xfId="0" applyNumberFormat="1" applyFont="1" applyFill="1" applyBorder="1" applyAlignment="1">
      <alignment horizontal="center" vertical="center"/>
    </xf>
    <xf numFmtId="4" fontId="62" fillId="2" borderId="58" xfId="0" applyNumberFormat="1" applyFont="1" applyFill="1" applyBorder="1" applyAlignment="1">
      <alignment horizontal="left" vertical="center" wrapText="1"/>
    </xf>
    <xf numFmtId="0" fontId="62" fillId="2" borderId="69" xfId="0" applyFont="1" applyFill="1" applyBorder="1" applyAlignment="1">
      <alignment horizontal="left" vertical="center" wrapText="1"/>
    </xf>
    <xf numFmtId="0" fontId="62" fillId="2" borderId="61" xfId="0" applyFont="1" applyFill="1" applyBorder="1" applyAlignment="1">
      <alignment horizontal="left" vertical="center" wrapText="1"/>
    </xf>
    <xf numFmtId="0" fontId="62" fillId="2" borderId="75" xfId="0" applyFont="1" applyFill="1" applyBorder="1" applyAlignment="1">
      <alignment horizontal="left" vertical="center" wrapText="1"/>
    </xf>
    <xf numFmtId="10" fontId="64" fillId="2" borderId="58" xfId="5" applyNumberFormat="1" applyFont="1" applyFill="1" applyBorder="1" applyAlignment="1">
      <alignment horizontal="right" vertical="center"/>
    </xf>
    <xf numFmtId="10" fontId="64" fillId="2" borderId="61" xfId="5" applyNumberFormat="1" applyFont="1" applyFill="1" applyBorder="1" applyAlignment="1">
      <alignment horizontal="right" vertical="center"/>
    </xf>
    <xf numFmtId="4" fontId="65" fillId="2" borderId="77" xfId="0" applyNumberFormat="1" applyFont="1" applyFill="1" applyBorder="1" applyAlignment="1">
      <alignment horizontal="right" vertical="center"/>
    </xf>
    <xf numFmtId="4" fontId="64" fillId="2" borderId="58" xfId="0" applyNumberFormat="1" applyFont="1" applyFill="1" applyBorder="1" applyAlignment="1">
      <alignment horizontal="right" vertical="center"/>
    </xf>
    <xf numFmtId="4" fontId="64" fillId="2" borderId="61" xfId="0" applyNumberFormat="1" applyFont="1" applyFill="1" applyBorder="1" applyAlignment="1">
      <alignment horizontal="right" vertical="center"/>
    </xf>
    <xf numFmtId="4" fontId="65" fillId="2" borderId="59" xfId="0" applyNumberFormat="1" applyFont="1" applyFill="1" applyBorder="1" applyAlignment="1">
      <alignment horizontal="right" vertical="center"/>
    </xf>
    <xf numFmtId="0" fontId="62" fillId="2" borderId="58" xfId="0" applyFont="1" applyFill="1" applyBorder="1" applyAlignment="1">
      <alignment horizontal="center" vertical="center" wrapText="1"/>
    </xf>
    <xf numFmtId="0" fontId="62" fillId="2" borderId="61" xfId="0" applyFont="1" applyFill="1" applyBorder="1" applyAlignment="1">
      <alignment horizontal="center" vertical="center" wrapText="1"/>
    </xf>
    <xf numFmtId="0" fontId="64" fillId="2" borderId="58" xfId="0" applyFont="1" applyFill="1" applyBorder="1" applyAlignment="1">
      <alignment horizontal="center" vertical="center"/>
    </xf>
    <xf numFmtId="0" fontId="64" fillId="2" borderId="61" xfId="0" applyFont="1" applyFill="1" applyBorder="1" applyAlignment="1">
      <alignment horizontal="center" vertical="center"/>
    </xf>
    <xf numFmtId="0" fontId="62" fillId="2" borderId="58" xfId="0" applyFont="1" applyFill="1" applyBorder="1" applyAlignment="1">
      <alignment horizontal="left" vertical="center" wrapText="1"/>
    </xf>
    <xf numFmtId="4" fontId="62" fillId="2" borderId="58" xfId="0" applyNumberFormat="1" applyFont="1" applyFill="1" applyBorder="1" applyAlignment="1">
      <alignment horizontal="center" vertical="center" wrapText="1"/>
    </xf>
    <xf numFmtId="4" fontId="64" fillId="2" borderId="58" xfId="0" applyNumberFormat="1" applyFont="1" applyFill="1" applyBorder="1" applyAlignment="1">
      <alignment horizontal="center" vertical="center"/>
    </xf>
    <xf numFmtId="0" fontId="62" fillId="10" borderId="73" xfId="0" applyFont="1" applyFill="1" applyBorder="1" applyAlignment="1">
      <alignment horizontal="center" vertical="center" wrapText="1"/>
    </xf>
    <xf numFmtId="0" fontId="62" fillId="10" borderId="72" xfId="0" applyFont="1" applyFill="1" applyBorder="1" applyAlignment="1">
      <alignment horizontal="center" vertical="center" wrapText="1"/>
    </xf>
    <xf numFmtId="0" fontId="62" fillId="10" borderId="58" xfId="0" applyFont="1" applyFill="1" applyBorder="1" applyAlignment="1">
      <alignment horizontal="center" vertical="center" wrapText="1"/>
    </xf>
    <xf numFmtId="4" fontId="1" fillId="11" borderId="69" xfId="0" applyNumberFormat="1" applyFont="1" applyFill="1" applyBorder="1" applyAlignment="1">
      <alignment horizontal="center" vertical="center"/>
    </xf>
    <xf numFmtId="4" fontId="1" fillId="11" borderId="70" xfId="0" applyNumberFormat="1" applyFont="1" applyFill="1" applyBorder="1" applyAlignment="1">
      <alignment horizontal="center" vertical="center"/>
    </xf>
    <xf numFmtId="4" fontId="1" fillId="17" borderId="69" xfId="0" applyNumberFormat="1" applyFont="1" applyFill="1" applyBorder="1" applyAlignment="1">
      <alignment horizontal="center" vertical="center"/>
    </xf>
    <xf numFmtId="4" fontId="1" fillId="17" borderId="70" xfId="0" applyNumberFormat="1" applyFont="1" applyFill="1" applyBorder="1" applyAlignment="1">
      <alignment horizontal="center" vertical="center"/>
    </xf>
    <xf numFmtId="4" fontId="1" fillId="17" borderId="59" xfId="0" applyNumberFormat="1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66" xfId="0" applyFont="1" applyFill="1" applyBorder="1" applyAlignment="1">
      <alignment horizontal="center" vertical="center"/>
    </xf>
    <xf numFmtId="0" fontId="14" fillId="17" borderId="13" xfId="0" applyFont="1" applyFill="1" applyBorder="1" applyAlignment="1">
      <alignment horizontal="center" vertical="center"/>
    </xf>
    <xf numFmtId="0" fontId="14" fillId="17" borderId="66" xfId="0" applyFont="1" applyFill="1" applyBorder="1" applyAlignment="1">
      <alignment horizontal="center" vertical="center"/>
    </xf>
    <xf numFmtId="0" fontId="14" fillId="17" borderId="65" xfId="0" applyFont="1" applyFill="1" applyBorder="1" applyAlignment="1">
      <alignment horizontal="center" vertical="center"/>
    </xf>
    <xf numFmtId="10" fontId="67" fillId="14" borderId="69" xfId="8" applyNumberFormat="1" applyFont="1" applyFill="1" applyBorder="1" applyAlignment="1">
      <alignment horizontal="center" vertical="center"/>
    </xf>
    <xf numFmtId="10" fontId="67" fillId="14" borderId="59" xfId="8" applyNumberFormat="1" applyFont="1" applyFill="1" applyBorder="1" applyAlignment="1">
      <alignment horizontal="center" vertical="center"/>
    </xf>
    <xf numFmtId="10" fontId="62" fillId="2" borderId="69" xfId="8" applyNumberFormat="1" applyFont="1" applyFill="1" applyBorder="1" applyAlignment="1">
      <alignment horizontal="right" vertical="center"/>
    </xf>
    <xf numFmtId="10" fontId="62" fillId="2" borderId="70" xfId="8" applyNumberFormat="1" applyFont="1" applyFill="1" applyBorder="1" applyAlignment="1">
      <alignment horizontal="right" vertical="center"/>
    </xf>
    <xf numFmtId="0" fontId="62" fillId="10" borderId="13" xfId="0" applyFont="1" applyFill="1" applyBorder="1" applyAlignment="1">
      <alignment horizontal="center" vertical="center" wrapText="1"/>
    </xf>
    <xf numFmtId="0" fontId="62" fillId="10" borderId="65" xfId="0" applyFont="1" applyFill="1" applyBorder="1" applyAlignment="1">
      <alignment horizontal="center" vertical="center" wrapText="1"/>
    </xf>
    <xf numFmtId="0" fontId="62" fillId="10" borderId="67" xfId="0" applyFont="1" applyFill="1" applyBorder="1" applyAlignment="1">
      <alignment horizontal="center" vertical="center" wrapText="1"/>
    </xf>
    <xf numFmtId="0" fontId="62" fillId="10" borderId="68" xfId="0" applyFont="1" applyFill="1" applyBorder="1" applyAlignment="1">
      <alignment horizontal="center" vertical="center" wrapText="1"/>
    </xf>
    <xf numFmtId="0" fontId="62" fillId="10" borderId="69" xfId="0" applyFont="1" applyFill="1" applyBorder="1" applyAlignment="1">
      <alignment horizontal="center" vertical="center" wrapText="1"/>
    </xf>
    <xf numFmtId="0" fontId="62" fillId="10" borderId="59" xfId="0" applyFont="1" applyFill="1" applyBorder="1" applyAlignment="1">
      <alignment horizontal="center" vertical="center" wrapText="1"/>
    </xf>
    <xf numFmtId="0" fontId="30" fillId="10" borderId="61" xfId="0" applyFont="1" applyFill="1" applyBorder="1" applyAlignment="1">
      <alignment horizontal="center" vertical="center"/>
    </xf>
    <xf numFmtId="0" fontId="68" fillId="10" borderId="61" xfId="0" applyFont="1" applyFill="1" applyBorder="1" applyAlignment="1">
      <alignment horizontal="center" vertical="center"/>
    </xf>
    <xf numFmtId="0" fontId="62" fillId="10" borderId="61" xfId="0" applyFont="1" applyFill="1" applyBorder="1" applyAlignment="1">
      <alignment horizontal="center" vertical="center"/>
    </xf>
    <xf numFmtId="0" fontId="14" fillId="11" borderId="67" xfId="0" applyFont="1" applyFill="1" applyBorder="1" applyAlignment="1">
      <alignment horizontal="center" vertical="top"/>
    </xf>
    <xf numFmtId="0" fontId="14" fillId="11" borderId="0" xfId="0" applyFont="1" applyFill="1" applyAlignment="1">
      <alignment horizontal="center" vertical="top"/>
    </xf>
    <xf numFmtId="0" fontId="14" fillId="17" borderId="67" xfId="0" applyFont="1" applyFill="1" applyBorder="1" applyAlignment="1">
      <alignment horizontal="center" vertical="top"/>
    </xf>
    <xf numFmtId="0" fontId="14" fillId="17" borderId="0" xfId="0" applyFont="1" applyFill="1" applyAlignment="1">
      <alignment horizontal="center" vertical="top"/>
    </xf>
    <xf numFmtId="0" fontId="14" fillId="17" borderId="68" xfId="0" applyFont="1" applyFill="1" applyBorder="1" applyAlignment="1">
      <alignment horizontal="center" vertical="top"/>
    </xf>
    <xf numFmtId="9" fontId="30" fillId="11" borderId="67" xfId="0" applyNumberFormat="1" applyFont="1" applyFill="1" applyBorder="1" applyAlignment="1">
      <alignment horizontal="center" vertical="center"/>
    </xf>
    <xf numFmtId="9" fontId="30" fillId="11" borderId="0" xfId="0" applyNumberFormat="1" applyFont="1" applyFill="1" applyAlignment="1">
      <alignment horizontal="center" vertical="center"/>
    </xf>
    <xf numFmtId="9" fontId="30" fillId="17" borderId="67" xfId="0" applyNumberFormat="1" applyFont="1" applyFill="1" applyBorder="1" applyAlignment="1">
      <alignment horizontal="center" vertical="center"/>
    </xf>
    <xf numFmtId="9" fontId="30" fillId="17" borderId="0" xfId="0" applyNumberFormat="1" applyFont="1" applyFill="1" applyAlignment="1">
      <alignment horizontal="center" vertical="center"/>
    </xf>
    <xf numFmtId="9" fontId="30" fillId="17" borderId="68" xfId="0" applyNumberFormat="1" applyFont="1" applyFill="1" applyBorder="1" applyAlignment="1">
      <alignment horizontal="center" vertical="center"/>
    </xf>
    <xf numFmtId="0" fontId="63" fillId="14" borderId="13" xfId="0" applyFont="1" applyFill="1" applyBorder="1" applyAlignment="1">
      <alignment horizontal="center" wrapText="1"/>
    </xf>
    <xf numFmtId="0" fontId="63" fillId="14" borderId="66" xfId="0" applyFont="1" applyFill="1" applyBorder="1" applyAlignment="1">
      <alignment horizontal="center" wrapText="1"/>
    </xf>
    <xf numFmtId="0" fontId="63" fillId="14" borderId="65" xfId="0" applyFont="1" applyFill="1" applyBorder="1" applyAlignment="1">
      <alignment horizontal="center" wrapText="1"/>
    </xf>
    <xf numFmtId="0" fontId="63" fillId="14" borderId="67" xfId="0" applyFont="1" applyFill="1" applyBorder="1" applyAlignment="1">
      <alignment horizontal="center" wrapText="1"/>
    </xf>
    <xf numFmtId="0" fontId="63" fillId="14" borderId="0" xfId="0" applyFont="1" applyFill="1" applyAlignment="1">
      <alignment horizontal="center" wrapText="1"/>
    </xf>
    <xf numFmtId="0" fontId="63" fillId="14" borderId="68" xfId="0" applyFont="1" applyFill="1" applyBorder="1" applyAlignment="1">
      <alignment horizontal="center" wrapText="1"/>
    </xf>
    <xf numFmtId="0" fontId="65" fillId="14" borderId="13" xfId="0" applyFont="1" applyFill="1" applyBorder="1" applyAlignment="1">
      <alignment horizontal="center" vertical="top" wrapText="1"/>
    </xf>
    <xf numFmtId="0" fontId="65" fillId="14" borderId="65" xfId="0" applyFont="1" applyFill="1" applyBorder="1" applyAlignment="1">
      <alignment horizontal="center" vertical="top" wrapText="1"/>
    </xf>
    <xf numFmtId="165" fontId="61" fillId="14" borderId="67" xfId="0" applyNumberFormat="1" applyFont="1" applyFill="1" applyBorder="1" applyAlignment="1">
      <alignment horizontal="center" vertical="center" wrapText="1"/>
    </xf>
    <xf numFmtId="165" fontId="61" fillId="14" borderId="68" xfId="0" applyNumberFormat="1" applyFont="1" applyFill="1" applyBorder="1" applyAlignment="1">
      <alignment horizontal="center" vertical="center" wrapText="1"/>
    </xf>
    <xf numFmtId="4" fontId="62" fillId="2" borderId="67" xfId="0" applyNumberFormat="1" applyFont="1" applyFill="1" applyBorder="1" applyAlignment="1">
      <alignment horizontal="right" vertical="center"/>
    </xf>
    <xf numFmtId="4" fontId="62" fillId="2" borderId="0" xfId="0" applyNumberFormat="1" applyFont="1" applyFill="1" applyBorder="1" applyAlignment="1">
      <alignment horizontal="right" vertical="center"/>
    </xf>
    <xf numFmtId="4" fontId="62" fillId="2" borderId="0" xfId="0" applyNumberFormat="1" applyFont="1" applyFill="1" applyAlignment="1">
      <alignment horizontal="right" vertical="center"/>
    </xf>
    <xf numFmtId="0" fontId="66" fillId="14" borderId="67" xfId="0" applyFont="1" applyFill="1" applyBorder="1" applyAlignment="1">
      <alignment horizontal="center" vertical="center" wrapText="1"/>
    </xf>
    <xf numFmtId="0" fontId="66" fillId="14" borderId="68" xfId="0" applyFont="1" applyFill="1" applyBorder="1" applyAlignment="1">
      <alignment horizontal="center" vertical="center" wrapText="1"/>
    </xf>
    <xf numFmtId="2" fontId="64" fillId="2" borderId="13" xfId="0" applyNumberFormat="1" applyFont="1" applyFill="1" applyBorder="1" applyAlignment="1">
      <alignment horizontal="center" wrapText="1"/>
    </xf>
    <xf numFmtId="2" fontId="64" fillId="2" borderId="66" xfId="0" applyNumberFormat="1" applyFont="1" applyFill="1" applyBorder="1" applyAlignment="1">
      <alignment horizontal="center" wrapText="1"/>
    </xf>
    <xf numFmtId="2" fontId="64" fillId="2" borderId="65" xfId="0" applyNumberFormat="1" applyFont="1" applyFill="1" applyBorder="1" applyAlignment="1">
      <alignment horizontal="center" wrapText="1"/>
    </xf>
    <xf numFmtId="2" fontId="64" fillId="2" borderId="67" xfId="0" applyNumberFormat="1" applyFont="1" applyFill="1" applyBorder="1" applyAlignment="1">
      <alignment horizontal="center" wrapText="1"/>
    </xf>
    <xf numFmtId="2" fontId="64" fillId="2" borderId="0" xfId="0" applyNumberFormat="1" applyFont="1" applyFill="1" applyBorder="1" applyAlignment="1">
      <alignment horizontal="center" wrapText="1"/>
    </xf>
    <xf numFmtId="2" fontId="64" fillId="2" borderId="0" xfId="0" applyNumberFormat="1" applyFont="1" applyFill="1" applyAlignment="1">
      <alignment horizontal="center" wrapText="1"/>
    </xf>
    <xf numFmtId="2" fontId="64" fillId="2" borderId="68" xfId="0" applyNumberFormat="1" applyFont="1" applyFill="1" applyBorder="1" applyAlignment="1">
      <alignment horizontal="center" wrapText="1"/>
    </xf>
    <xf numFmtId="0" fontId="63" fillId="14" borderId="67" xfId="0" applyFont="1" applyFill="1" applyBorder="1" applyAlignment="1">
      <alignment horizontal="center" vertical="center" wrapText="1"/>
    </xf>
    <xf numFmtId="0" fontId="63" fillId="14" borderId="0" xfId="0" applyFont="1" applyFill="1" applyAlignment="1">
      <alignment horizontal="center" vertical="center" wrapText="1"/>
    </xf>
    <xf numFmtId="0" fontId="63" fillId="14" borderId="68" xfId="0" applyFont="1" applyFill="1" applyBorder="1" applyAlignment="1">
      <alignment horizontal="center" vertical="center" wrapText="1"/>
    </xf>
    <xf numFmtId="2" fontId="62" fillId="2" borderId="67" xfId="0" applyNumberFormat="1" applyFont="1" applyFill="1" applyBorder="1" applyAlignment="1">
      <alignment horizontal="center" vertical="center"/>
    </xf>
    <xf numFmtId="2" fontId="62" fillId="2" borderId="0" xfId="0" applyNumberFormat="1" applyFont="1" applyFill="1" applyBorder="1" applyAlignment="1">
      <alignment horizontal="center" vertical="center"/>
    </xf>
    <xf numFmtId="2" fontId="62" fillId="2" borderId="0" xfId="0" applyNumberFormat="1" applyFont="1" applyFill="1" applyAlignment="1">
      <alignment horizontal="center" vertical="center"/>
    </xf>
    <xf numFmtId="2" fontId="62" fillId="2" borderId="68" xfId="0" applyNumberFormat="1" applyFont="1" applyFill="1" applyBorder="1" applyAlignment="1">
      <alignment horizontal="center" vertical="center"/>
    </xf>
    <xf numFmtId="0" fontId="63" fillId="14" borderId="67" xfId="0" applyFont="1" applyFill="1" applyBorder="1" applyAlignment="1">
      <alignment horizontal="center" vertical="top" wrapText="1"/>
    </xf>
    <xf numFmtId="0" fontId="63" fillId="14" borderId="0" xfId="0" applyFont="1" applyFill="1" applyAlignment="1">
      <alignment horizontal="center" vertical="top" wrapText="1"/>
    </xf>
    <xf numFmtId="0" fontId="63" fillId="14" borderId="68" xfId="0" applyFont="1" applyFill="1" applyBorder="1" applyAlignment="1">
      <alignment horizontal="center" vertical="top" wrapText="1"/>
    </xf>
    <xf numFmtId="0" fontId="63" fillId="14" borderId="69" xfId="0" applyFont="1" applyFill="1" applyBorder="1" applyAlignment="1">
      <alignment horizontal="center" vertical="top" wrapText="1"/>
    </xf>
    <xf numFmtId="0" fontId="63" fillId="14" borderId="70" xfId="0" applyFont="1" applyFill="1" applyBorder="1" applyAlignment="1">
      <alignment horizontal="center" vertical="top" wrapText="1"/>
    </xf>
    <xf numFmtId="0" fontId="63" fillId="14" borderId="59" xfId="0" applyFont="1" applyFill="1" applyBorder="1" applyAlignment="1">
      <alignment horizontal="center" vertical="top" wrapText="1"/>
    </xf>
    <xf numFmtId="0" fontId="52" fillId="15" borderId="17" xfId="0" applyFont="1" applyFill="1" applyBorder="1" applyAlignment="1">
      <alignment horizontal="center" vertical="center" wrapText="1"/>
    </xf>
    <xf numFmtId="0" fontId="52" fillId="15" borderId="0" xfId="0" applyFont="1" applyFill="1" applyBorder="1" applyAlignment="1">
      <alignment horizontal="center" vertical="center" wrapText="1"/>
    </xf>
    <xf numFmtId="0" fontId="52" fillId="15" borderId="18" xfId="0" applyFont="1" applyFill="1" applyBorder="1" applyAlignment="1">
      <alignment horizontal="center" vertical="center" wrapText="1"/>
    </xf>
    <xf numFmtId="0" fontId="53" fillId="2" borderId="15" xfId="0" applyFont="1" applyFill="1" applyBorder="1" applyAlignment="1">
      <alignment horizontal="center" vertical="center"/>
    </xf>
    <xf numFmtId="0" fontId="53" fillId="2" borderId="0" xfId="0" applyFont="1" applyFill="1" applyBorder="1" applyAlignment="1">
      <alignment horizontal="center" vertical="center"/>
    </xf>
    <xf numFmtId="0" fontId="53" fillId="2" borderId="20" xfId="0" applyFont="1" applyFill="1" applyBorder="1" applyAlignment="1">
      <alignment horizontal="center" vertical="center"/>
    </xf>
    <xf numFmtId="0" fontId="52" fillId="14" borderId="14" xfId="0" applyFont="1" applyFill="1" applyBorder="1" applyAlignment="1">
      <alignment horizontal="center" vertical="center" wrapText="1"/>
    </xf>
    <xf numFmtId="0" fontId="52" fillId="14" borderId="15" xfId="0" applyFont="1" applyFill="1" applyBorder="1" applyAlignment="1">
      <alignment horizontal="center" vertical="center" wrapText="1"/>
    </xf>
    <xf numFmtId="0" fontId="52" fillId="14" borderId="16" xfId="0" applyFont="1" applyFill="1" applyBorder="1" applyAlignment="1">
      <alignment horizontal="center" vertical="center" wrapText="1"/>
    </xf>
    <xf numFmtId="0" fontId="52" fillId="14" borderId="103" xfId="0" applyFont="1" applyFill="1" applyBorder="1" applyAlignment="1">
      <alignment horizontal="center" vertical="center" wrapText="1"/>
    </xf>
    <xf numFmtId="0" fontId="52" fillId="14" borderId="70" xfId="0" applyFont="1" applyFill="1" applyBorder="1" applyAlignment="1">
      <alignment horizontal="center" vertical="center" wrapText="1"/>
    </xf>
    <xf numFmtId="0" fontId="52" fillId="14" borderId="9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/>
    </xf>
    <xf numFmtId="4" fontId="8" fillId="0" borderId="1" xfId="0" applyNumberFormat="1" applyFont="1" applyFill="1" applyBorder="1" applyAlignment="1">
      <alignment horizontal="right" vertical="top" wrapText="1"/>
    </xf>
    <xf numFmtId="0" fontId="8" fillId="0" borderId="39" xfId="0" applyFont="1" applyFill="1" applyBorder="1" applyAlignment="1">
      <alignment horizontal="right" vertical="top" wrapText="1"/>
    </xf>
    <xf numFmtId="0" fontId="33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right" vertical="top" wrapText="1"/>
    </xf>
    <xf numFmtId="0" fontId="25" fillId="13" borderId="1" xfId="0" applyFont="1" applyFill="1" applyBorder="1" applyAlignment="1">
      <alignment horizontal="left" vertical="top" wrapText="1" indent="1"/>
    </xf>
    <xf numFmtId="0" fontId="25" fillId="6" borderId="1" xfId="0" applyFont="1" applyFill="1" applyBorder="1" applyAlignment="1">
      <alignment horizontal="left" vertical="top" wrapText="1" indent="1"/>
    </xf>
    <xf numFmtId="0" fontId="52" fillId="4" borderId="22" xfId="0" applyFont="1" applyFill="1" applyBorder="1" applyAlignment="1">
      <alignment horizontal="center" vertical="center" wrapText="1"/>
    </xf>
    <xf numFmtId="0" fontId="53" fillId="0" borderId="36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 wrapText="1"/>
    </xf>
    <xf numFmtId="0" fontId="8" fillId="0" borderId="4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0" fontId="7" fillId="0" borderId="50" xfId="0" applyFont="1" applyFill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right" vertical="center"/>
    </xf>
    <xf numFmtId="2" fontId="9" fillId="0" borderId="39" xfId="0" applyNumberFormat="1" applyFont="1" applyBorder="1" applyAlignment="1">
      <alignment horizontal="right" vertical="center"/>
    </xf>
    <xf numFmtId="4" fontId="35" fillId="0" borderId="1" xfId="3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8" fillId="0" borderId="39" xfId="0" applyNumberFormat="1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top" wrapText="1"/>
    </xf>
    <xf numFmtId="2" fontId="7" fillId="0" borderId="1" xfId="0" applyNumberFormat="1" applyFont="1" applyFill="1" applyBorder="1" applyAlignment="1">
      <alignment horizontal="right" vertical="top" wrapText="1"/>
    </xf>
    <xf numFmtId="2" fontId="7" fillId="0" borderId="39" xfId="0" applyNumberFormat="1" applyFont="1" applyFill="1" applyBorder="1" applyAlignment="1">
      <alignment horizontal="right" vertical="top" wrapText="1"/>
    </xf>
    <xf numFmtId="4" fontId="7" fillId="0" borderId="1" xfId="0" applyNumberFormat="1" applyFont="1" applyFill="1" applyBorder="1" applyAlignment="1">
      <alignment horizontal="right" vertical="top" wrapText="1"/>
    </xf>
    <xf numFmtId="0" fontId="7" fillId="0" borderId="39" xfId="0" applyFont="1" applyFill="1" applyBorder="1" applyAlignment="1">
      <alignment horizontal="right" vertical="top" wrapText="1"/>
    </xf>
    <xf numFmtId="0" fontId="1" fillId="0" borderId="36" xfId="0" applyFont="1" applyBorder="1" applyAlignment="1">
      <alignment horizontal="left" vertical="top" wrapText="1"/>
    </xf>
    <xf numFmtId="2" fontId="25" fillId="0" borderId="62" xfId="0" applyNumberFormat="1" applyFont="1" applyBorder="1" applyAlignment="1">
      <alignment wrapText="1"/>
    </xf>
    <xf numFmtId="2" fontId="25" fillId="0" borderId="63" xfId="0" applyNumberFormat="1" applyFont="1" applyBorder="1" applyAlignment="1">
      <alignment wrapText="1"/>
    </xf>
    <xf numFmtId="0" fontId="53" fillId="0" borderId="61" xfId="0" applyFont="1" applyBorder="1" applyAlignment="1">
      <alignment horizontal="left" vertical="top" wrapText="1"/>
    </xf>
    <xf numFmtId="0" fontId="53" fillId="0" borderId="58" xfId="0" applyFont="1" applyBorder="1" applyAlignment="1">
      <alignment horizontal="left" vertical="top" wrapText="1"/>
    </xf>
    <xf numFmtId="44" fontId="7" fillId="0" borderId="1" xfId="0" applyNumberFormat="1" applyFont="1" applyFill="1" applyBorder="1" applyAlignment="1">
      <alignment horizontal="right" vertical="top" wrapText="1"/>
    </xf>
    <xf numFmtId="44" fontId="7" fillId="0" borderId="39" xfId="0" applyNumberFormat="1" applyFont="1" applyFill="1" applyBorder="1" applyAlignment="1">
      <alignment horizontal="right" vertical="top" wrapText="1"/>
    </xf>
    <xf numFmtId="0" fontId="7" fillId="8" borderId="35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vertical="center"/>
    </xf>
    <xf numFmtId="0" fontId="3" fillId="8" borderId="37" xfId="0" applyFont="1" applyFill="1" applyBorder="1" applyAlignment="1">
      <alignment vertical="center"/>
    </xf>
    <xf numFmtId="0" fontId="7" fillId="5" borderId="47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vertical="center"/>
    </xf>
    <xf numFmtId="0" fontId="3" fillId="5" borderId="48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29" fillId="0" borderId="1" xfId="0" applyFont="1" applyFill="1" applyBorder="1" applyAlignment="1">
      <alignment horizontal="right" vertical="top" wrapText="1"/>
    </xf>
    <xf numFmtId="44" fontId="29" fillId="0" borderId="1" xfId="0" applyNumberFormat="1" applyFont="1" applyFill="1" applyBorder="1" applyAlignment="1">
      <alignment horizontal="right" vertical="top" wrapText="1"/>
    </xf>
    <xf numFmtId="44" fontId="29" fillId="0" borderId="39" xfId="0" applyNumberFormat="1" applyFont="1" applyFill="1" applyBorder="1" applyAlignment="1">
      <alignment horizontal="right" vertical="top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4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wrapText="1"/>
    </xf>
    <xf numFmtId="164" fontId="7" fillId="2" borderId="15" xfId="8" applyFont="1" applyFill="1" applyBorder="1" applyAlignment="1">
      <alignment horizontal="left" vertical="top" wrapText="1"/>
    </xf>
    <xf numFmtId="43" fontId="3" fillId="2" borderId="35" xfId="4" applyFont="1" applyFill="1" applyBorder="1" applyAlignment="1">
      <alignment horizontal="center"/>
    </xf>
    <xf numFmtId="43" fontId="3" fillId="2" borderId="36" xfId="4" applyFont="1" applyFill="1" applyBorder="1" applyAlignment="1">
      <alignment horizontal="center"/>
    </xf>
    <xf numFmtId="43" fontId="3" fillId="2" borderId="37" xfId="4" applyFont="1" applyFill="1" applyBorder="1" applyAlignment="1">
      <alignment horizontal="center"/>
    </xf>
    <xf numFmtId="43" fontId="3" fillId="2" borderId="38" xfId="4" applyFont="1" applyFill="1" applyBorder="1" applyAlignment="1">
      <alignment horizontal="center"/>
    </xf>
    <xf numFmtId="43" fontId="3" fillId="2" borderId="1" xfId="4" applyFont="1" applyFill="1" applyBorder="1" applyAlignment="1">
      <alignment horizontal="center"/>
    </xf>
    <xf numFmtId="43" fontId="3" fillId="2" borderId="39" xfId="4" applyFont="1" applyFill="1" applyBorder="1" applyAlignment="1">
      <alignment horizontal="center"/>
    </xf>
    <xf numFmtId="43" fontId="3" fillId="2" borderId="40" xfId="4" applyFont="1" applyFill="1" applyBorder="1" applyAlignment="1">
      <alignment horizontal="center"/>
    </xf>
    <xf numFmtId="43" fontId="3" fillId="2" borderId="41" xfId="4" applyFont="1" applyFill="1" applyBorder="1" applyAlignment="1">
      <alignment horizontal="center"/>
    </xf>
    <xf numFmtId="43" fontId="3" fillId="2" borderId="42" xfId="4" applyFont="1" applyFill="1" applyBorder="1" applyAlignment="1">
      <alignment horizontal="center"/>
    </xf>
    <xf numFmtId="0" fontId="8" fillId="0" borderId="0" xfId="6" applyFont="1" applyBorder="1" applyAlignment="1">
      <alignment horizontal="left" vertical="center"/>
    </xf>
    <xf numFmtId="0" fontId="8" fillId="0" borderId="18" xfId="6" applyFont="1" applyBorder="1" applyAlignment="1">
      <alignment horizontal="left" vertical="center"/>
    </xf>
    <xf numFmtId="164" fontId="7" fillId="2" borderId="0" xfId="8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left" wrapText="1"/>
    </xf>
    <xf numFmtId="0" fontId="29" fillId="0" borderId="4" xfId="0" applyFont="1" applyFill="1" applyBorder="1" applyAlignment="1">
      <alignment horizontal="left" wrapText="1"/>
    </xf>
    <xf numFmtId="0" fontId="12" fillId="0" borderId="1" xfId="0" applyFont="1" applyBorder="1"/>
    <xf numFmtId="0" fontId="29" fillId="0" borderId="1" xfId="0" applyFont="1" applyFill="1" applyBorder="1" applyAlignment="1">
      <alignment horizontal="left" vertical="center" wrapText="1"/>
    </xf>
    <xf numFmtId="2" fontId="29" fillId="0" borderId="1" xfId="0" applyNumberFormat="1" applyFont="1" applyFill="1" applyBorder="1" applyAlignment="1">
      <alignment horizontal="right" vertical="top" wrapText="1"/>
    </xf>
    <xf numFmtId="2" fontId="29" fillId="0" borderId="39" xfId="0" applyNumberFormat="1" applyFont="1" applyFill="1" applyBorder="1" applyAlignment="1">
      <alignment horizontal="right" vertical="top" wrapText="1"/>
    </xf>
    <xf numFmtId="0" fontId="0" fillId="0" borderId="4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0" xfId="0" applyBorder="1" applyAlignment="1">
      <alignment horizont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2" fontId="29" fillId="0" borderId="2" xfId="0" applyNumberFormat="1" applyFont="1" applyFill="1" applyBorder="1" applyAlignment="1">
      <alignment horizontal="right" vertical="center" wrapText="1"/>
    </xf>
    <xf numFmtId="2" fontId="29" fillId="0" borderId="50" xfId="0" applyNumberFormat="1" applyFont="1" applyFill="1" applyBorder="1" applyAlignment="1">
      <alignment horizontal="right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4" fontId="29" fillId="0" borderId="1" xfId="0" applyNumberFormat="1" applyFont="1" applyFill="1" applyBorder="1" applyAlignment="1">
      <alignment horizontal="right" vertical="top" wrapText="1"/>
    </xf>
    <xf numFmtId="0" fontId="29" fillId="0" borderId="39" xfId="0" applyFont="1" applyFill="1" applyBorder="1" applyAlignment="1">
      <alignment horizontal="right" vertical="top" wrapText="1"/>
    </xf>
    <xf numFmtId="0" fontId="30" fillId="0" borderId="2" xfId="0" applyFont="1" applyFill="1" applyBorder="1" applyAlignment="1">
      <alignment horizontal="right" vertical="center" wrapText="1"/>
    </xf>
    <xf numFmtId="0" fontId="30" fillId="0" borderId="3" xfId="0" applyFont="1" applyFill="1" applyBorder="1" applyAlignment="1">
      <alignment horizontal="right" vertical="center" wrapText="1"/>
    </xf>
    <xf numFmtId="0" fontId="30" fillId="0" borderId="4" xfId="0" applyFont="1" applyFill="1" applyBorder="1" applyAlignment="1">
      <alignment horizontal="right" vertical="center" wrapText="1"/>
    </xf>
    <xf numFmtId="4" fontId="5" fillId="0" borderId="2" xfId="3" applyNumberFormat="1" applyFont="1" applyFill="1" applyBorder="1" applyAlignment="1">
      <alignment horizontal="center" vertical="center" wrapText="1"/>
    </xf>
    <xf numFmtId="4" fontId="5" fillId="0" borderId="4" xfId="3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right" vertical="top" wrapText="1"/>
    </xf>
    <xf numFmtId="4" fontId="29" fillId="0" borderId="39" xfId="0" applyNumberFormat="1" applyFont="1" applyFill="1" applyBorder="1" applyAlignment="1">
      <alignment horizontal="right" vertical="top" wrapText="1"/>
    </xf>
    <xf numFmtId="4" fontId="31" fillId="0" borderId="2" xfId="3" applyNumberFormat="1" applyFont="1" applyFill="1" applyBorder="1" applyAlignment="1">
      <alignment horizontal="right" vertical="center" wrapText="1"/>
    </xf>
    <xf numFmtId="4" fontId="31" fillId="0" borderId="3" xfId="3" applyNumberFormat="1" applyFont="1" applyFill="1" applyBorder="1" applyAlignment="1">
      <alignment horizontal="right" vertical="center" wrapText="1"/>
    </xf>
    <xf numFmtId="4" fontId="31" fillId="0" borderId="4" xfId="3" applyNumberFormat="1" applyFont="1" applyFill="1" applyBorder="1" applyAlignment="1">
      <alignment horizontal="right" vertical="center" wrapText="1"/>
    </xf>
    <xf numFmtId="0" fontId="33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right" vertical="center"/>
    </xf>
    <xf numFmtId="2" fontId="11" fillId="0" borderId="2" xfId="0" applyNumberFormat="1" applyFont="1" applyBorder="1" applyAlignment="1">
      <alignment horizontal="right" vertical="center"/>
    </xf>
    <xf numFmtId="4" fontId="29" fillId="0" borderId="2" xfId="0" applyNumberFormat="1" applyFont="1" applyFill="1" applyBorder="1" applyAlignment="1">
      <alignment horizontal="right" vertical="center" wrapText="1"/>
    </xf>
    <xf numFmtId="4" fontId="29" fillId="0" borderId="50" xfId="0" applyNumberFormat="1" applyFont="1" applyFill="1" applyBorder="1" applyAlignment="1">
      <alignment horizontal="right" vertical="center" wrapText="1"/>
    </xf>
    <xf numFmtId="0" fontId="32" fillId="0" borderId="2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4" fontId="34" fillId="0" borderId="2" xfId="3" applyNumberFormat="1" applyFont="1" applyFill="1" applyBorder="1" applyAlignment="1">
      <alignment horizontal="center" vertical="center" wrapText="1"/>
    </xf>
    <xf numFmtId="4" fontId="34" fillId="0" borderId="4" xfId="3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top" wrapText="1"/>
    </xf>
    <xf numFmtId="4" fontId="7" fillId="0" borderId="2" xfId="0" applyNumberFormat="1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center"/>
    </xf>
    <xf numFmtId="4" fontId="35" fillId="0" borderId="2" xfId="3" applyNumberFormat="1" applyFont="1" applyFill="1" applyBorder="1" applyAlignment="1">
      <alignment horizontal="right" vertical="center" wrapText="1"/>
    </xf>
    <xf numFmtId="4" fontId="35" fillId="0" borderId="3" xfId="3" applyNumberFormat="1" applyFont="1" applyFill="1" applyBorder="1" applyAlignment="1">
      <alignment horizontal="right" vertical="center" wrapText="1"/>
    </xf>
    <xf numFmtId="4" fontId="35" fillId="0" borderId="4" xfId="3" applyNumberFormat="1" applyFont="1" applyFill="1" applyBorder="1" applyAlignment="1">
      <alignment horizontal="right" vertical="center" wrapText="1"/>
    </xf>
    <xf numFmtId="4" fontId="34" fillId="0" borderId="3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top" wrapText="1"/>
    </xf>
    <xf numFmtId="0" fontId="11" fillId="0" borderId="1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2" fontId="63" fillId="14" borderId="17" xfId="0" applyNumberFormat="1" applyFont="1" applyFill="1" applyBorder="1" applyAlignment="1">
      <alignment horizontal="center" vertical="center" wrapText="1"/>
    </xf>
    <xf numFmtId="2" fontId="63" fillId="14" borderId="0" xfId="0" applyNumberFormat="1" applyFont="1" applyFill="1" applyBorder="1" applyAlignment="1">
      <alignment horizontal="center" vertical="center" wrapText="1"/>
    </xf>
    <xf numFmtId="2" fontId="63" fillId="14" borderId="18" xfId="0" applyNumberFormat="1" applyFont="1" applyFill="1" applyBorder="1" applyAlignment="1">
      <alignment horizontal="center" vertical="center" wrapText="1"/>
    </xf>
    <xf numFmtId="2" fontId="62" fillId="14" borderId="17" xfId="0" applyNumberFormat="1" applyFont="1" applyFill="1" applyBorder="1" applyAlignment="1">
      <alignment horizontal="center" vertical="center"/>
    </xf>
    <xf numFmtId="2" fontId="62" fillId="14" borderId="0" xfId="0" applyNumberFormat="1" applyFont="1" applyFill="1" applyBorder="1" applyAlignment="1">
      <alignment horizontal="center" vertical="center"/>
    </xf>
    <xf numFmtId="2" fontId="62" fillId="14" borderId="18" xfId="0" applyNumberFormat="1" applyFont="1" applyFill="1" applyBorder="1" applyAlignment="1">
      <alignment horizontal="center" vertical="center"/>
    </xf>
    <xf numFmtId="10" fontId="73" fillId="10" borderId="101" xfId="0" applyNumberFormat="1" applyFont="1" applyFill="1" applyBorder="1" applyAlignment="1">
      <alignment horizontal="center" vertical="center"/>
    </xf>
    <xf numFmtId="10" fontId="73" fillId="10" borderId="71" xfId="0" applyNumberFormat="1" applyFont="1" applyFill="1" applyBorder="1" applyAlignment="1">
      <alignment horizontal="center" vertical="center"/>
    </xf>
    <xf numFmtId="10" fontId="73" fillId="10" borderId="102" xfId="0" applyNumberFormat="1" applyFont="1" applyFill="1" applyBorder="1" applyAlignment="1">
      <alignment horizontal="center" vertical="center"/>
    </xf>
    <xf numFmtId="2" fontId="18" fillId="14" borderId="17" xfId="0" applyNumberFormat="1" applyFont="1" applyFill="1" applyBorder="1" applyAlignment="1">
      <alignment horizontal="center" vertical="center" wrapText="1"/>
    </xf>
    <xf numFmtId="2" fontId="18" fillId="14" borderId="0" xfId="0" applyNumberFormat="1" applyFont="1" applyFill="1" applyBorder="1" applyAlignment="1">
      <alignment horizontal="center" vertical="center" wrapText="1"/>
    </xf>
    <xf numFmtId="2" fontId="18" fillId="14" borderId="18" xfId="0" applyNumberFormat="1" applyFont="1" applyFill="1" applyBorder="1" applyAlignment="1">
      <alignment horizontal="center" vertical="center" wrapText="1"/>
    </xf>
    <xf numFmtId="0" fontId="22" fillId="0" borderId="17" xfId="11" applyFont="1" applyBorder="1" applyAlignment="1">
      <alignment horizontal="left" vertical="center" wrapText="1"/>
    </xf>
    <xf numFmtId="0" fontId="22" fillId="0" borderId="0" xfId="11" applyFont="1" applyBorder="1" applyAlignment="1">
      <alignment horizontal="left" vertical="center" wrapText="1"/>
    </xf>
    <xf numFmtId="0" fontId="22" fillId="0" borderId="18" xfId="11" applyFont="1" applyBorder="1" applyAlignment="1">
      <alignment horizontal="left" vertical="center" wrapText="1"/>
    </xf>
    <xf numFmtId="0" fontId="19" fillId="0" borderId="55" xfId="11" applyFont="1" applyBorder="1" applyAlignment="1">
      <alignment horizontal="center" vertical="center"/>
    </xf>
    <xf numFmtId="0" fontId="19" fillId="0" borderId="45" xfId="11" applyFont="1" applyBorder="1" applyAlignment="1">
      <alignment horizontal="center" vertical="center"/>
    </xf>
    <xf numFmtId="0" fontId="19" fillId="0" borderId="56" xfId="11" applyFont="1" applyBorder="1" applyAlignment="1">
      <alignment horizontal="center" vertical="center"/>
    </xf>
    <xf numFmtId="0" fontId="19" fillId="0" borderId="2" xfId="11" applyFont="1" applyBorder="1" applyAlignment="1">
      <alignment horizontal="left"/>
    </xf>
    <xf numFmtId="0" fontId="19" fillId="0" borderId="3" xfId="11" applyFont="1" applyBorder="1" applyAlignment="1">
      <alignment horizontal="left"/>
    </xf>
    <xf numFmtId="0" fontId="19" fillId="5" borderId="28" xfId="11" applyFont="1" applyFill="1" applyBorder="1" applyAlignment="1">
      <alignment horizontal="left"/>
    </xf>
    <xf numFmtId="0" fontId="19" fillId="5" borderId="29" xfId="11" applyFont="1" applyFill="1" applyBorder="1" applyAlignment="1">
      <alignment horizontal="left"/>
    </xf>
    <xf numFmtId="0" fontId="65" fillId="14" borderId="0" xfId="0" applyFont="1" applyFill="1" applyBorder="1" applyAlignment="1">
      <alignment horizontal="center" vertical="top" wrapText="1"/>
    </xf>
    <xf numFmtId="0" fontId="65" fillId="14" borderId="18" xfId="0" applyFont="1" applyFill="1" applyBorder="1" applyAlignment="1">
      <alignment horizontal="center" vertical="top" wrapText="1"/>
    </xf>
    <xf numFmtId="4" fontId="62" fillId="14" borderId="0" xfId="0" applyNumberFormat="1" applyFont="1" applyFill="1" applyBorder="1" applyAlignment="1">
      <alignment horizontal="right" vertical="center"/>
    </xf>
    <xf numFmtId="0" fontId="65" fillId="14" borderId="15" xfId="0" applyFont="1" applyFill="1" applyBorder="1" applyAlignment="1">
      <alignment horizontal="center" wrapText="1"/>
    </xf>
    <xf numFmtId="0" fontId="65" fillId="14" borderId="16" xfId="0" applyFont="1" applyFill="1" applyBorder="1" applyAlignment="1">
      <alignment horizontal="center" wrapText="1"/>
    </xf>
    <xf numFmtId="0" fontId="65" fillId="14" borderId="0" xfId="0" applyFont="1" applyFill="1" applyBorder="1" applyAlignment="1">
      <alignment horizontal="center" wrapText="1"/>
    </xf>
    <xf numFmtId="0" fontId="65" fillId="14" borderId="18" xfId="0" applyFont="1" applyFill="1" applyBorder="1" applyAlignment="1">
      <alignment horizontal="center" wrapText="1"/>
    </xf>
    <xf numFmtId="0" fontId="65" fillId="14" borderId="0" xfId="0" applyFont="1" applyFill="1" applyBorder="1" applyAlignment="1">
      <alignment horizontal="center" vertical="center" wrapText="1"/>
    </xf>
    <xf numFmtId="0" fontId="65" fillId="14" borderId="18" xfId="0" applyFont="1" applyFill="1" applyBorder="1" applyAlignment="1">
      <alignment horizontal="center" vertical="center" wrapText="1"/>
    </xf>
    <xf numFmtId="0" fontId="0" fillId="0" borderId="14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84" fillId="0" borderId="0" xfId="0" applyFont="1" applyAlignment="1" applyProtection="1">
      <alignment vertical="top" wrapText="1"/>
      <protection locked="0"/>
    </xf>
    <xf numFmtId="0" fontId="84" fillId="0" borderId="0" xfId="0" applyFont="1" applyAlignment="1" applyProtection="1">
      <alignment horizontal="right" vertical="center" wrapText="1"/>
      <protection locked="0"/>
    </xf>
    <xf numFmtId="0" fontId="84" fillId="0" borderId="18" xfId="0" applyFont="1" applyBorder="1" applyAlignment="1" applyProtection="1">
      <alignment horizontal="center" vertical="center" wrapText="1"/>
      <protection locked="0"/>
    </xf>
    <xf numFmtId="0" fontId="84" fillId="0" borderId="0" xfId="0" applyFont="1" applyAlignment="1" applyProtection="1">
      <alignment horizontal="right" vertical="center"/>
      <protection locked="0"/>
    </xf>
    <xf numFmtId="0" fontId="84" fillId="0" borderId="18" xfId="0" applyFont="1" applyBorder="1" applyAlignment="1" applyProtection="1">
      <alignment horizontal="center" vertical="center"/>
      <protection locked="0"/>
    </xf>
    <xf numFmtId="0" fontId="51" fillId="7" borderId="64" xfId="0" applyFont="1" applyFill="1" applyBorder="1" applyAlignment="1" applyProtection="1">
      <alignment horizontal="center" vertical="center"/>
      <protection locked="0"/>
    </xf>
    <xf numFmtId="0" fontId="51" fillId="7" borderId="5" xfId="0" applyFont="1" applyFill="1" applyBorder="1" applyAlignment="1" applyProtection="1">
      <alignment horizontal="center" vertical="center"/>
      <protection locked="0"/>
    </xf>
    <xf numFmtId="0" fontId="51" fillId="7" borderId="105" xfId="0" applyFont="1" applyFill="1" applyBorder="1" applyAlignment="1" applyProtection="1">
      <alignment horizontal="center" vertical="center" wrapText="1"/>
      <protection locked="0"/>
    </xf>
    <xf numFmtId="0" fontId="51" fillId="7" borderId="106" xfId="0" applyFont="1" applyFill="1" applyBorder="1" applyAlignment="1" applyProtection="1">
      <alignment horizontal="center" vertical="center" wrapText="1"/>
      <protection locked="0"/>
    </xf>
    <xf numFmtId="0" fontId="51" fillId="7" borderId="38" xfId="0" applyFont="1" applyFill="1" applyBorder="1" applyAlignment="1" applyProtection="1">
      <alignment horizontal="center" vertical="center"/>
      <protection locked="0"/>
    </xf>
    <xf numFmtId="0" fontId="51" fillId="7" borderId="1" xfId="0" applyFont="1" applyFill="1" applyBorder="1" applyAlignment="1" applyProtection="1">
      <alignment horizontal="center" vertical="center"/>
      <protection locked="0"/>
    </xf>
    <xf numFmtId="0" fontId="51" fillId="7" borderId="54" xfId="0" applyFont="1" applyFill="1" applyBorder="1" applyAlignment="1" applyProtection="1">
      <alignment horizontal="center" vertical="center" wrapText="1"/>
      <protection locked="0"/>
    </xf>
    <xf numFmtId="0" fontId="51" fillId="2" borderId="38" xfId="0" applyFont="1" applyFill="1" applyBorder="1" applyAlignment="1" applyProtection="1">
      <alignment horizontal="center" vertical="center"/>
      <protection locked="0"/>
    </xf>
    <xf numFmtId="0" fontId="40" fillId="2" borderId="10" xfId="0" applyFont="1" applyFill="1" applyBorder="1" applyAlignment="1" applyProtection="1">
      <alignment vertical="center"/>
      <protection locked="0"/>
    </xf>
    <xf numFmtId="0" fontId="40" fillId="2" borderId="9" xfId="0" applyFont="1" applyFill="1" applyBorder="1" applyAlignment="1" applyProtection="1">
      <alignment vertical="center"/>
      <protection locked="0"/>
    </xf>
    <xf numFmtId="10" fontId="40" fillId="2" borderId="50" xfId="0" applyNumberFormat="1" applyFont="1" applyFill="1" applyBorder="1" applyAlignment="1" applyProtection="1">
      <alignment horizontal="center" vertical="center"/>
      <protection locked="0"/>
    </xf>
    <xf numFmtId="0" fontId="40" fillId="2" borderId="6" xfId="0" applyFont="1" applyFill="1" applyBorder="1" applyAlignment="1" applyProtection="1">
      <alignment vertical="center"/>
      <protection locked="0"/>
    </xf>
    <xf numFmtId="0" fontId="40" fillId="2" borderId="7" xfId="0" applyFont="1" applyFill="1" applyBorder="1" applyAlignment="1" applyProtection="1">
      <alignment vertical="center"/>
      <protection locked="0"/>
    </xf>
    <xf numFmtId="0" fontId="51" fillId="2" borderId="47" xfId="0" applyFont="1" applyFill="1" applyBorder="1" applyAlignment="1" applyProtection="1">
      <alignment horizontal="center" vertical="center"/>
      <protection locked="0"/>
    </xf>
    <xf numFmtId="10" fontId="40" fillId="2" borderId="53" xfId="0" applyNumberFormat="1" applyFont="1" applyFill="1" applyBorder="1" applyAlignment="1" applyProtection="1">
      <alignment horizontal="center" vertical="center"/>
      <protection locked="0"/>
    </xf>
    <xf numFmtId="0" fontId="51" fillId="2" borderId="64" xfId="0" applyFont="1" applyFill="1" applyBorder="1" applyAlignment="1" applyProtection="1">
      <alignment horizontal="center" vertical="center"/>
      <protection locked="0"/>
    </xf>
    <xf numFmtId="10" fontId="40" fillId="2" borderId="52" xfId="0" applyNumberFormat="1" applyFont="1" applyFill="1" applyBorder="1" applyAlignment="1" applyProtection="1">
      <alignment horizontal="center" vertical="center"/>
      <protection locked="0"/>
    </xf>
    <xf numFmtId="0" fontId="51" fillId="2" borderId="107" xfId="0" applyFont="1" applyFill="1" applyBorder="1" applyAlignment="1" applyProtection="1">
      <alignment horizontal="center" vertical="center"/>
      <protection locked="0"/>
    </xf>
    <xf numFmtId="0" fontId="51" fillId="2" borderId="9" xfId="0" applyFont="1" applyFill="1" applyBorder="1" applyAlignment="1" applyProtection="1">
      <alignment horizontal="center" vertical="center"/>
      <protection locked="0"/>
    </xf>
    <xf numFmtId="0" fontId="51" fillId="2" borderId="11" xfId="0" applyFont="1" applyFill="1" applyBorder="1" applyAlignment="1" applyProtection="1">
      <alignment horizontal="center" vertical="center"/>
      <protection locked="0"/>
    </xf>
    <xf numFmtId="44" fontId="51" fillId="2" borderId="10" xfId="0" applyNumberFormat="1" applyFont="1" applyFill="1" applyBorder="1" applyAlignment="1" applyProtection="1">
      <alignment horizontal="center" vertical="center"/>
      <protection locked="0"/>
    </xf>
    <xf numFmtId="44" fontId="51" fillId="2" borderId="53" xfId="0" applyNumberFormat="1" applyFont="1" applyFill="1" applyBorder="1" applyAlignment="1" applyProtection="1">
      <alignment horizontal="center" vertical="center"/>
      <protection locked="0"/>
    </xf>
    <xf numFmtId="0" fontId="51" fillId="2" borderId="19" xfId="0" applyFont="1" applyFill="1" applyBorder="1" applyAlignment="1" applyProtection="1">
      <alignment horizontal="center" vertical="center"/>
      <protection locked="0"/>
    </xf>
    <xf numFmtId="0" fontId="51" fillId="2" borderId="20" xfId="0" applyFont="1" applyFill="1" applyBorder="1" applyAlignment="1" applyProtection="1">
      <alignment horizontal="center" vertical="center"/>
      <protection locked="0"/>
    </xf>
    <xf numFmtId="0" fontId="51" fillId="2" borderId="108" xfId="0" applyFont="1" applyFill="1" applyBorder="1" applyAlignment="1" applyProtection="1">
      <alignment horizontal="center" vertical="center"/>
      <protection locked="0"/>
    </xf>
    <xf numFmtId="44" fontId="51" fillId="2" borderId="109" xfId="0" applyNumberFormat="1" applyFont="1" applyFill="1" applyBorder="1" applyAlignment="1" applyProtection="1">
      <alignment horizontal="center" vertical="center"/>
      <protection locked="0"/>
    </xf>
    <xf numFmtId="44" fontId="51" fillId="2" borderId="21" xfId="0" applyNumberFormat="1" applyFont="1" applyFill="1" applyBorder="1" applyAlignment="1" applyProtection="1">
      <alignment horizontal="center" vertical="center"/>
      <protection locked="0"/>
    </xf>
    <xf numFmtId="44" fontId="52" fillId="2" borderId="1" xfId="13" applyNumberFormat="1" applyFont="1" applyFill="1" applyBorder="1" applyAlignment="1" applyProtection="1">
      <alignment horizontal="center" vertical="center"/>
    </xf>
    <xf numFmtId="0" fontId="53" fillId="2" borderId="14" xfId="0" applyFont="1" applyFill="1" applyBorder="1" applyAlignment="1" applyProtection="1">
      <alignment horizontal="center" vertical="center"/>
      <protection locked="0"/>
    </xf>
    <xf numFmtId="0" fontId="53" fillId="2" borderId="16" xfId="0" applyFont="1" applyFill="1" applyBorder="1" applyAlignment="1" applyProtection="1">
      <alignment horizontal="center" vertical="center"/>
      <protection locked="0"/>
    </xf>
    <xf numFmtId="0" fontId="52" fillId="14" borderId="15" xfId="0" applyFont="1" applyFill="1" applyBorder="1" applyAlignment="1" applyProtection="1">
      <alignment horizontal="center" wrapText="1"/>
      <protection locked="0"/>
    </xf>
    <xf numFmtId="0" fontId="52" fillId="14" borderId="16" xfId="0" applyFont="1" applyFill="1" applyBorder="1" applyAlignment="1" applyProtection="1">
      <alignment horizontal="center" wrapText="1"/>
      <protection locked="0"/>
    </xf>
    <xf numFmtId="0" fontId="53" fillId="2" borderId="17" xfId="0" applyFont="1" applyFill="1" applyBorder="1" applyAlignment="1" applyProtection="1">
      <alignment horizontal="center" vertical="center"/>
      <protection locked="0"/>
    </xf>
    <xf numFmtId="0" fontId="53" fillId="2" borderId="18" xfId="0" applyFont="1" applyFill="1" applyBorder="1" applyAlignment="1" applyProtection="1">
      <alignment horizontal="center" vertical="center"/>
      <protection locked="0"/>
    </xf>
    <xf numFmtId="0" fontId="52" fillId="14" borderId="0" xfId="0" applyFont="1" applyFill="1" applyBorder="1" applyAlignment="1" applyProtection="1">
      <alignment horizontal="center" wrapText="1"/>
      <protection locked="0"/>
    </xf>
    <xf numFmtId="0" fontId="52" fillId="14" borderId="18" xfId="0" applyFont="1" applyFill="1" applyBorder="1" applyAlignment="1" applyProtection="1">
      <alignment horizontal="center" wrapText="1"/>
      <protection locked="0"/>
    </xf>
    <xf numFmtId="0" fontId="52" fillId="14" borderId="0" xfId="0" applyFont="1" applyFill="1" applyBorder="1" applyAlignment="1" applyProtection="1">
      <alignment horizontal="center" vertical="center" wrapText="1"/>
      <protection locked="0"/>
    </xf>
    <xf numFmtId="0" fontId="52" fillId="14" borderId="18" xfId="0" applyFont="1" applyFill="1" applyBorder="1" applyAlignment="1" applyProtection="1">
      <alignment horizontal="center" vertical="center" wrapText="1"/>
      <protection locked="0"/>
    </xf>
    <xf numFmtId="0" fontId="52" fillId="14" borderId="0" xfId="0" applyFont="1" applyFill="1" applyBorder="1" applyAlignment="1" applyProtection="1">
      <alignment horizontal="center" vertical="top" wrapText="1"/>
      <protection locked="0"/>
    </xf>
    <xf numFmtId="0" fontId="52" fillId="14" borderId="18" xfId="0" applyFont="1" applyFill="1" applyBorder="1" applyAlignment="1" applyProtection="1">
      <alignment horizontal="center" vertical="top" wrapText="1"/>
      <protection locked="0"/>
    </xf>
    <xf numFmtId="0" fontId="52" fillId="14" borderId="66" xfId="0" applyFont="1" applyFill="1" applyBorder="1" applyAlignment="1" applyProtection="1">
      <alignment horizontal="center" vertical="top" wrapText="1"/>
      <protection locked="0"/>
    </xf>
    <xf numFmtId="0" fontId="52" fillId="14" borderId="65" xfId="0" applyFont="1" applyFill="1" applyBorder="1" applyAlignment="1" applyProtection="1">
      <alignment horizontal="center" vertical="top" wrapText="1"/>
      <protection locked="0"/>
    </xf>
    <xf numFmtId="0" fontId="52" fillId="14" borderId="13" xfId="0" applyFont="1" applyFill="1" applyBorder="1" applyAlignment="1" applyProtection="1">
      <alignment horizontal="center" vertical="top" wrapText="1"/>
      <protection locked="0"/>
    </xf>
    <xf numFmtId="0" fontId="52" fillId="14" borderId="98" xfId="0" applyFont="1" applyFill="1" applyBorder="1" applyAlignment="1" applyProtection="1">
      <alignment horizontal="center" vertical="top" wrapText="1"/>
      <protection locked="0"/>
    </xf>
    <xf numFmtId="0" fontId="57" fillId="14" borderId="0" xfId="0" applyFont="1" applyFill="1" applyBorder="1" applyAlignment="1" applyProtection="1">
      <alignment horizontal="center" vertical="center" wrapText="1"/>
      <protection locked="0"/>
    </xf>
    <xf numFmtId="0" fontId="57" fillId="14" borderId="68" xfId="0" applyFont="1" applyFill="1" applyBorder="1" applyAlignment="1" applyProtection="1">
      <alignment horizontal="center" vertical="center" wrapText="1"/>
      <protection locked="0"/>
    </xf>
    <xf numFmtId="0" fontId="57" fillId="14" borderId="67" xfId="0" applyFont="1" applyFill="1" applyBorder="1" applyAlignment="1" applyProtection="1">
      <alignment horizontal="center" vertical="center" wrapText="1"/>
      <protection locked="0"/>
    </xf>
    <xf numFmtId="0" fontId="57" fillId="14" borderId="18" xfId="0" applyFont="1" applyFill="1" applyBorder="1" applyAlignment="1" applyProtection="1">
      <alignment horizontal="center" vertical="center" wrapText="1"/>
      <protection locked="0"/>
    </xf>
    <xf numFmtId="165" fontId="58" fillId="14" borderId="0" xfId="0" applyNumberFormat="1" applyFont="1" applyFill="1" applyBorder="1" applyAlignment="1" applyProtection="1">
      <alignment horizontal="center" vertical="center" wrapText="1"/>
      <protection locked="0"/>
    </xf>
    <xf numFmtId="165" fontId="58" fillId="14" borderId="68" xfId="0" applyNumberFormat="1" applyFont="1" applyFill="1" applyBorder="1" applyAlignment="1" applyProtection="1">
      <alignment horizontal="center" vertical="center" wrapText="1"/>
      <protection locked="0"/>
    </xf>
    <xf numFmtId="165" fontId="58" fillId="14" borderId="67" xfId="0" applyNumberFormat="1" applyFont="1" applyFill="1" applyBorder="1" applyAlignment="1" applyProtection="1">
      <alignment horizontal="center" vertical="center" wrapText="1"/>
      <protection locked="0"/>
    </xf>
    <xf numFmtId="165" fontId="58" fillId="14" borderId="18" xfId="0" applyNumberFormat="1" applyFont="1" applyFill="1" applyBorder="1" applyAlignment="1" applyProtection="1">
      <alignment horizontal="center" vertical="center" wrapText="1"/>
      <protection locked="0"/>
    </xf>
    <xf numFmtId="10" fontId="59" fillId="14" borderId="70" xfId="8" applyNumberFormat="1" applyFont="1" applyFill="1" applyBorder="1" applyAlignment="1" applyProtection="1">
      <alignment horizontal="center" vertical="center"/>
      <protection locked="0"/>
    </xf>
    <xf numFmtId="10" fontId="59" fillId="14" borderId="59" xfId="8" applyNumberFormat="1" applyFont="1" applyFill="1" applyBorder="1" applyAlignment="1" applyProtection="1">
      <alignment horizontal="center" vertical="center"/>
      <protection locked="0"/>
    </xf>
    <xf numFmtId="10" fontId="59" fillId="14" borderId="69" xfId="8" applyNumberFormat="1" applyFont="1" applyFill="1" applyBorder="1" applyAlignment="1" applyProtection="1">
      <alignment horizontal="center" vertical="center"/>
      <protection locked="0"/>
    </xf>
    <xf numFmtId="10" fontId="59" fillId="14" borderId="99" xfId="8" applyNumberFormat="1" applyFont="1" applyFill="1" applyBorder="1" applyAlignment="1" applyProtection="1">
      <alignment horizontal="center" vertical="center"/>
      <protection locked="0"/>
    </xf>
    <xf numFmtId="4" fontId="58" fillId="14" borderId="66" xfId="0" applyNumberFormat="1" applyFont="1" applyFill="1" applyBorder="1" applyAlignment="1" applyProtection="1">
      <alignment vertical="center" wrapText="1"/>
      <protection locked="0"/>
    </xf>
    <xf numFmtId="0" fontId="59" fillId="14" borderId="66" xfId="0" applyFont="1" applyFill="1" applyBorder="1" applyAlignment="1" applyProtection="1">
      <alignment vertical="center"/>
      <protection locked="0"/>
    </xf>
    <xf numFmtId="0" fontId="59" fillId="14" borderId="98" xfId="0" applyFont="1" applyFill="1" applyBorder="1" applyAlignment="1" applyProtection="1">
      <alignment vertical="center"/>
      <protection locked="0"/>
    </xf>
    <xf numFmtId="4" fontId="58" fillId="14" borderId="0" xfId="0" applyNumberFormat="1" applyFont="1" applyFill="1" applyBorder="1" applyAlignment="1" applyProtection="1">
      <alignment vertical="center" wrapText="1"/>
      <protection locked="0"/>
    </xf>
    <xf numFmtId="4" fontId="53" fillId="14" borderId="0" xfId="0" applyNumberFormat="1" applyFont="1" applyFill="1" applyBorder="1" applyAlignment="1" applyProtection="1">
      <alignment horizontal="right" vertical="center"/>
      <protection locked="0"/>
    </xf>
    <xf numFmtId="10" fontId="52" fillId="14" borderId="18" xfId="0" applyNumberFormat="1" applyFont="1" applyFill="1" applyBorder="1" applyAlignment="1" applyProtection="1">
      <alignment horizontal="left" vertical="center" wrapText="1" shrinkToFit="1"/>
      <protection locked="0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0" fontId="53" fillId="2" borderId="21" xfId="0" applyFont="1" applyFill="1" applyBorder="1" applyAlignment="1" applyProtection="1">
      <alignment horizontal="center" vertical="center"/>
      <protection locked="0"/>
    </xf>
    <xf numFmtId="39" fontId="53" fillId="14" borderId="70" xfId="8" applyNumberFormat="1" applyFont="1" applyFill="1" applyBorder="1" applyAlignment="1" applyProtection="1">
      <alignment vertical="center"/>
      <protection locked="0"/>
    </xf>
    <xf numFmtId="0" fontId="53" fillId="14" borderId="70" xfId="0" applyFont="1" applyFill="1" applyBorder="1" applyAlignment="1" applyProtection="1">
      <alignment vertical="center"/>
      <protection locked="0"/>
    </xf>
    <xf numFmtId="0" fontId="53" fillId="14" borderId="99" xfId="0" applyFont="1" applyFill="1" applyBorder="1" applyAlignment="1" applyProtection="1">
      <alignment vertical="center"/>
      <protection locked="0"/>
    </xf>
    <xf numFmtId="0" fontId="53" fillId="14" borderId="17" xfId="0" applyFont="1" applyFill="1" applyBorder="1" applyAlignment="1" applyProtection="1">
      <alignment horizontal="center" vertical="center"/>
      <protection locked="0"/>
    </xf>
    <xf numFmtId="0" fontId="53" fillId="14" borderId="0" xfId="0" applyFont="1" applyFill="1" applyBorder="1" applyAlignment="1" applyProtection="1">
      <alignment horizontal="center" vertical="center"/>
      <protection locked="0"/>
    </xf>
    <xf numFmtId="0" fontId="53" fillId="14" borderId="66" xfId="0" applyFont="1" applyFill="1" applyBorder="1" applyAlignment="1" applyProtection="1">
      <alignment horizontal="center" vertical="center"/>
      <protection locked="0"/>
    </xf>
    <xf numFmtId="0" fontId="53" fillId="14" borderId="98" xfId="0" applyFont="1" applyFill="1" applyBorder="1" applyAlignment="1" applyProtection="1">
      <alignment horizontal="center" vertical="center"/>
      <protection locked="0"/>
    </xf>
    <xf numFmtId="0" fontId="52" fillId="14" borderId="17" xfId="0" applyFont="1" applyFill="1" applyBorder="1" applyAlignment="1" applyProtection="1">
      <alignment horizontal="center" vertical="center" wrapText="1"/>
      <protection locked="0"/>
    </xf>
    <xf numFmtId="0" fontId="53" fillId="14" borderId="17" xfId="0" applyFont="1" applyFill="1" applyBorder="1" applyAlignment="1" applyProtection="1">
      <alignment horizontal="center" vertical="center" wrapText="1"/>
      <protection locked="0"/>
    </xf>
    <xf numFmtId="0" fontId="53" fillId="14" borderId="0" xfId="0" applyFont="1" applyFill="1" applyBorder="1" applyAlignment="1" applyProtection="1">
      <alignment horizontal="center" vertical="center" wrapText="1"/>
      <protection locked="0"/>
    </xf>
    <xf numFmtId="0" fontId="53" fillId="14" borderId="18" xfId="0" applyFont="1" applyFill="1" applyBorder="1" applyAlignment="1" applyProtection="1">
      <alignment horizontal="center" vertical="center" wrapText="1"/>
      <protection locked="0"/>
    </xf>
    <xf numFmtId="0" fontId="52" fillId="5" borderId="17" xfId="0" applyFont="1" applyFill="1" applyBorder="1" applyAlignment="1" applyProtection="1">
      <alignment horizontal="center" vertical="center" wrapText="1"/>
      <protection locked="0"/>
    </xf>
    <xf numFmtId="0" fontId="52" fillId="5" borderId="0" xfId="0" applyFont="1" applyFill="1" applyBorder="1" applyAlignment="1" applyProtection="1">
      <alignment horizontal="center" vertical="center" wrapText="1"/>
      <protection locked="0"/>
    </xf>
    <xf numFmtId="0" fontId="52" fillId="5" borderId="18" xfId="0" applyFont="1" applyFill="1" applyBorder="1" applyAlignment="1" applyProtection="1">
      <alignment horizontal="center" vertical="center" wrapText="1"/>
      <protection locked="0"/>
    </xf>
    <xf numFmtId="0" fontId="89" fillId="5" borderId="23" xfId="0" applyFont="1" applyFill="1" applyBorder="1" applyAlignment="1" applyProtection="1">
      <alignment horizontal="center" wrapText="1"/>
      <protection locked="0"/>
    </xf>
    <xf numFmtId="0" fontId="89" fillId="5" borderId="29" xfId="0" applyFont="1" applyFill="1" applyBorder="1" applyAlignment="1" applyProtection="1">
      <alignment horizontal="center" wrapText="1"/>
      <protection locked="0"/>
    </xf>
    <xf numFmtId="0" fontId="89" fillId="5" borderId="29" xfId="0" applyFont="1" applyFill="1" applyBorder="1" applyAlignment="1" applyProtection="1">
      <alignment wrapText="1"/>
      <protection locked="0"/>
    </xf>
    <xf numFmtId="0" fontId="87" fillId="5" borderId="29" xfId="0" applyFont="1" applyFill="1" applyBorder="1" applyAlignment="1" applyProtection="1">
      <alignment wrapText="1"/>
      <protection locked="0"/>
    </xf>
    <xf numFmtId="0" fontId="87" fillId="5" borderId="46" xfId="0" applyFont="1" applyFill="1" applyBorder="1" applyAlignment="1" applyProtection="1">
      <alignment wrapText="1"/>
      <protection locked="0"/>
    </xf>
    <xf numFmtId="4" fontId="90" fillId="0" borderId="14" xfId="4" applyNumberFormat="1" applyFont="1" applyFill="1" applyBorder="1" applyAlignment="1" applyProtection="1">
      <alignment horizontal="center" vertical="center" wrapText="1"/>
      <protection locked="0"/>
    </xf>
    <xf numFmtId="0" fontId="90" fillId="0" borderId="15" xfId="0" applyFont="1" applyBorder="1" applyAlignment="1" applyProtection="1">
      <alignment horizontal="center" vertical="center" wrapText="1"/>
      <protection locked="0"/>
    </xf>
    <xf numFmtId="0" fontId="90" fillId="0" borderId="15" xfId="0" applyFont="1" applyBorder="1" applyAlignment="1" applyProtection="1">
      <alignment horizontal="center" vertical="center" wrapText="1"/>
      <protection locked="0"/>
    </xf>
    <xf numFmtId="0" fontId="90" fillId="0" borderId="15" xfId="0" applyFont="1" applyBorder="1" applyAlignment="1" applyProtection="1">
      <alignment vertical="center" wrapText="1"/>
      <protection locked="0"/>
    </xf>
    <xf numFmtId="43" fontId="90" fillId="0" borderId="15" xfId="4" applyFont="1" applyFill="1" applyBorder="1" applyAlignment="1" applyProtection="1">
      <alignment horizontal="center" vertical="center" wrapText="1"/>
      <protection locked="0"/>
    </xf>
    <xf numFmtId="0" fontId="88" fillId="0" borderId="15" xfId="0" applyFont="1" applyBorder="1" applyAlignment="1" applyProtection="1">
      <alignment horizontal="center" vertical="center" wrapText="1"/>
      <protection locked="0"/>
    </xf>
    <xf numFmtId="0" fontId="88" fillId="0" borderId="15" xfId="0" applyFont="1" applyBorder="1" applyAlignment="1" applyProtection="1">
      <alignment horizontal="center" vertical="center" wrapText="1"/>
      <protection locked="0"/>
    </xf>
    <xf numFmtId="0" fontId="88" fillId="0" borderId="16" xfId="0" applyFont="1" applyBorder="1" applyAlignment="1" applyProtection="1">
      <alignment horizontal="center" vertical="center" wrapText="1"/>
      <protection locked="0"/>
    </xf>
    <xf numFmtId="4" fontId="90" fillId="0" borderId="17" xfId="4" applyNumberFormat="1" applyFont="1" applyFill="1" applyBorder="1" applyAlignment="1" applyProtection="1">
      <alignment horizontal="center" vertical="center" wrapText="1"/>
      <protection locked="0"/>
    </xf>
    <xf numFmtId="0" fontId="90" fillId="0" borderId="0" xfId="0" applyFont="1" applyBorder="1" applyProtection="1">
      <protection locked="0"/>
    </xf>
    <xf numFmtId="4" fontId="90" fillId="0" borderId="0" xfId="0" applyNumberFormat="1" applyFont="1" applyBorder="1" applyAlignment="1" applyProtection="1">
      <alignment horizontal="center" vertical="center" wrapText="1"/>
      <protection locked="0"/>
    </xf>
    <xf numFmtId="4" fontId="90" fillId="0" borderId="0" xfId="0" applyNumberFormat="1" applyFont="1" applyBorder="1" applyAlignment="1" applyProtection="1">
      <alignment horizontal="center" vertical="center" wrapText="1"/>
      <protection locked="0"/>
    </xf>
    <xf numFmtId="4" fontId="90" fillId="0" borderId="0" xfId="4" applyNumberFormat="1" applyFont="1" applyFill="1" applyBorder="1" applyAlignment="1" applyProtection="1">
      <alignment horizontal="center" vertical="center" wrapText="1"/>
      <protection locked="0"/>
    </xf>
    <xf numFmtId="4" fontId="88" fillId="0" borderId="0" xfId="0" applyNumberFormat="1" applyFont="1" applyBorder="1" applyAlignment="1" applyProtection="1">
      <alignment horizontal="center" vertical="center" wrapText="1"/>
      <protection locked="0"/>
    </xf>
    <xf numFmtId="4" fontId="88" fillId="0" borderId="0" xfId="4" applyNumberFormat="1" applyFont="1" applyFill="1" applyBorder="1" applyAlignment="1" applyProtection="1">
      <alignment horizontal="center" vertical="center" wrapText="1"/>
      <protection locked="0"/>
    </xf>
    <xf numFmtId="4" fontId="88" fillId="0" borderId="18" xfId="4" applyNumberFormat="1" applyFont="1" applyFill="1" applyBorder="1" applyAlignment="1" applyProtection="1">
      <alignment horizontal="center" vertical="center" wrapText="1"/>
      <protection locked="0"/>
    </xf>
    <xf numFmtId="4" fontId="89" fillId="0" borderId="0" xfId="0" applyNumberFormat="1" applyFont="1" applyBorder="1" applyAlignment="1" applyProtection="1">
      <alignment horizontal="center" vertical="center" wrapText="1"/>
      <protection locked="0"/>
    </xf>
    <xf numFmtId="4" fontId="89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53" fillId="14" borderId="17" xfId="0" applyFont="1" applyFill="1" applyBorder="1" applyAlignment="1" applyProtection="1">
      <alignment vertical="center" wrapText="1" shrinkToFit="1"/>
      <protection locked="0"/>
    </xf>
    <xf numFmtId="0" fontId="53" fillId="14" borderId="0" xfId="0" applyFont="1" applyFill="1" applyBorder="1" applyAlignment="1" applyProtection="1">
      <alignment vertical="center" wrapText="1" shrinkToFit="1"/>
      <protection locked="0"/>
    </xf>
    <xf numFmtId="0" fontId="53" fillId="14" borderId="18" xfId="0" applyFont="1" applyFill="1" applyBorder="1" applyAlignment="1" applyProtection="1">
      <alignment vertical="center" wrapText="1" shrinkToFit="1"/>
      <protection locked="0"/>
    </xf>
    <xf numFmtId="0" fontId="53" fillId="14" borderId="19" xfId="0" applyFont="1" applyFill="1" applyBorder="1" applyAlignment="1" applyProtection="1">
      <alignment vertical="center" wrapText="1" shrinkToFit="1"/>
      <protection locked="0"/>
    </xf>
    <xf numFmtId="0" fontId="53" fillId="14" borderId="20" xfId="0" applyFont="1" applyFill="1" applyBorder="1" applyAlignment="1" applyProtection="1">
      <alignment vertical="center" wrapText="1" shrinkToFit="1"/>
      <protection locked="0"/>
    </xf>
    <xf numFmtId="0" fontId="53" fillId="14" borderId="21" xfId="0" applyFont="1" applyFill="1" applyBorder="1" applyAlignment="1" applyProtection="1">
      <alignment vertical="center" wrapText="1" shrinkToFit="1"/>
      <protection locked="0"/>
    </xf>
    <xf numFmtId="0" fontId="91" fillId="0" borderId="14" xfId="7" applyFont="1" applyBorder="1" applyAlignment="1" applyProtection="1">
      <alignment horizontal="center" vertical="center"/>
      <protection locked="0"/>
    </xf>
    <xf numFmtId="0" fontId="91" fillId="0" borderId="15" xfId="7" applyFont="1" applyBorder="1" applyAlignment="1" applyProtection="1">
      <alignment horizontal="center" vertical="center"/>
      <protection locked="0"/>
    </xf>
    <xf numFmtId="0" fontId="91" fillId="0" borderId="16" xfId="7" applyFont="1" applyBorder="1" applyAlignment="1" applyProtection="1">
      <alignment horizontal="center" vertical="center"/>
      <protection locked="0"/>
    </xf>
    <xf numFmtId="0" fontId="91" fillId="0" borderId="19" xfId="7" applyFont="1" applyBorder="1" applyAlignment="1" applyProtection="1">
      <alignment horizontal="center" vertical="center"/>
      <protection locked="0"/>
    </xf>
    <xf numFmtId="0" fontId="91" fillId="0" borderId="20" xfId="7" applyFont="1" applyBorder="1" applyAlignment="1" applyProtection="1">
      <alignment horizontal="center" vertical="center"/>
      <protection locked="0"/>
    </xf>
    <xf numFmtId="0" fontId="91" fillId="0" borderId="21" xfId="7" applyFont="1" applyBorder="1" applyAlignment="1" applyProtection="1">
      <alignment horizontal="center" vertical="center"/>
      <protection locked="0"/>
    </xf>
    <xf numFmtId="0" fontId="91" fillId="7" borderId="25" xfId="1" applyFont="1" applyFill="1" applyBorder="1" applyAlignment="1" applyProtection="1">
      <alignment horizontal="center" vertical="center" wrapText="1"/>
      <protection locked="0"/>
    </xf>
    <xf numFmtId="164" fontId="91" fillId="7" borderId="25" xfId="14" applyFont="1" applyFill="1" applyBorder="1" applyAlignment="1" applyProtection="1">
      <alignment horizontal="center" vertical="center" wrapText="1"/>
      <protection locked="0"/>
    </xf>
    <xf numFmtId="0" fontId="91" fillId="7" borderId="15" xfId="7" applyFont="1" applyFill="1" applyBorder="1" applyAlignment="1" applyProtection="1">
      <alignment horizontal="center" vertical="center" wrapText="1"/>
      <protection locked="0"/>
    </xf>
    <xf numFmtId="0" fontId="91" fillId="7" borderId="16" xfId="7" applyFont="1" applyFill="1" applyBorder="1" applyAlignment="1" applyProtection="1">
      <alignment horizontal="center" vertical="center" wrapText="1"/>
      <protection locked="0"/>
    </xf>
    <xf numFmtId="0" fontId="91" fillId="7" borderId="14" xfId="7" applyFont="1" applyFill="1" applyBorder="1" applyAlignment="1" applyProtection="1">
      <alignment horizontal="center" vertical="center" wrapText="1"/>
      <protection locked="0"/>
    </xf>
    <xf numFmtId="0" fontId="91" fillId="7" borderId="26" xfId="1" applyFont="1" applyFill="1" applyBorder="1" applyAlignment="1" applyProtection="1">
      <alignment horizontal="center" vertical="center" wrapText="1"/>
      <protection locked="0"/>
    </xf>
    <xf numFmtId="164" fontId="91" fillId="7" borderId="26" xfId="14" applyFont="1" applyFill="1" applyBorder="1" applyAlignment="1" applyProtection="1">
      <alignment horizontal="center" vertical="center" wrapText="1"/>
      <protection locked="0"/>
    </xf>
    <xf numFmtId="0" fontId="91" fillId="7" borderId="20" xfId="7" applyFont="1" applyFill="1" applyBorder="1" applyAlignment="1" applyProtection="1">
      <alignment horizontal="center" vertical="center" wrapText="1"/>
      <protection locked="0"/>
    </xf>
    <xf numFmtId="0" fontId="91" fillId="7" borderId="21" xfId="7" applyFont="1" applyFill="1" applyBorder="1" applyAlignment="1" applyProtection="1">
      <alignment horizontal="center" vertical="center" wrapText="1"/>
      <protection locked="0"/>
    </xf>
    <xf numFmtId="0" fontId="91" fillId="7" borderId="19" xfId="7" applyFont="1" applyFill="1" applyBorder="1" applyAlignment="1" applyProtection="1">
      <alignment horizontal="center" vertical="center" wrapText="1"/>
      <protection locked="0"/>
    </xf>
    <xf numFmtId="0" fontId="91" fillId="7" borderId="27" xfId="1" applyFont="1" applyFill="1" applyBorder="1" applyAlignment="1" applyProtection="1">
      <alignment horizontal="center" vertical="center" wrapText="1"/>
      <protection locked="0"/>
    </xf>
    <xf numFmtId="164" fontId="91" fillId="7" borderId="27" xfId="14" applyFont="1" applyFill="1" applyBorder="1" applyAlignment="1" applyProtection="1">
      <alignment horizontal="center" vertical="center" wrapText="1"/>
      <protection locked="0"/>
    </xf>
    <xf numFmtId="164" fontId="91" fillId="7" borderId="22" xfId="14" applyFont="1" applyFill="1" applyBorder="1" applyAlignment="1" applyProtection="1">
      <alignment horizontal="center" vertical="center" wrapText="1"/>
      <protection locked="0"/>
    </xf>
    <xf numFmtId="0" fontId="91" fillId="7" borderId="22" xfId="14" applyNumberFormat="1" applyFont="1" applyFill="1" applyBorder="1" applyAlignment="1" applyProtection="1">
      <alignment horizontal="center" vertical="center" wrapText="1"/>
      <protection locked="0"/>
    </xf>
    <xf numFmtId="49" fontId="91" fillId="7" borderId="22" xfId="14" applyNumberFormat="1" applyFont="1" applyFill="1" applyBorder="1" applyAlignment="1" applyProtection="1">
      <alignment horizontal="center" vertical="center" wrapText="1"/>
      <protection locked="0"/>
    </xf>
    <xf numFmtId="49" fontId="92" fillId="0" borderId="64" xfId="0" applyNumberFormat="1" applyFont="1" applyBorder="1" applyAlignment="1" applyProtection="1">
      <alignment horizontal="center" vertical="center"/>
      <protection locked="0"/>
    </xf>
    <xf numFmtId="0" fontId="92" fillId="0" borderId="5" xfId="0" applyFont="1" applyBorder="1" applyAlignment="1" applyProtection="1">
      <alignment vertical="center"/>
      <protection locked="0"/>
    </xf>
    <xf numFmtId="0" fontId="92" fillId="0" borderId="5" xfId="0" applyFont="1" applyBorder="1" applyAlignment="1" applyProtection="1">
      <alignment horizontal="center" vertical="center"/>
      <protection locked="0"/>
    </xf>
    <xf numFmtId="4" fontId="92" fillId="0" borderId="5" xfId="0" applyNumberFormat="1" applyFont="1" applyBorder="1" applyAlignment="1" applyProtection="1">
      <alignment horizontal="center" vertical="center"/>
      <protection locked="0"/>
    </xf>
    <xf numFmtId="49" fontId="92" fillId="0" borderId="5" xfId="0" applyNumberFormat="1" applyFont="1" applyBorder="1" applyAlignment="1" applyProtection="1">
      <alignment horizontal="center" vertical="center"/>
      <protection locked="0"/>
    </xf>
    <xf numFmtId="165" fontId="92" fillId="0" borderId="5" xfId="0" applyNumberFormat="1" applyFont="1" applyBorder="1" applyAlignment="1" applyProtection="1">
      <alignment horizontal="center" vertical="center"/>
      <protection locked="0"/>
    </xf>
    <xf numFmtId="165" fontId="92" fillId="0" borderId="6" xfId="0" applyNumberFormat="1" applyFont="1" applyBorder="1" applyAlignment="1" applyProtection="1">
      <alignment horizontal="center" vertical="center"/>
      <protection locked="0"/>
    </xf>
    <xf numFmtId="165" fontId="92" fillId="0" borderId="54" xfId="0" applyNumberFormat="1" applyFont="1" applyBorder="1" applyAlignment="1" applyProtection="1">
      <alignment horizontal="center" vertical="center"/>
      <protection locked="0"/>
    </xf>
    <xf numFmtId="0" fontId="83" fillId="0" borderId="64" xfId="0" applyFont="1" applyBorder="1" applyAlignment="1" applyProtection="1">
      <alignment horizontal="center"/>
      <protection locked="0"/>
    </xf>
    <xf numFmtId="0" fontId="83" fillId="0" borderId="5" xfId="0" applyFont="1" applyBorder="1" applyAlignment="1" applyProtection="1">
      <alignment horizontal="left" vertical="center"/>
      <protection locked="0"/>
    </xf>
    <xf numFmtId="0" fontId="92" fillId="0" borderId="5" xfId="0" applyFont="1" applyBorder="1" applyProtection="1">
      <protection locked="0"/>
    </xf>
    <xf numFmtId="165" fontId="83" fillId="0" borderId="1" xfId="0" applyNumberFormat="1" applyFont="1" applyBorder="1" applyAlignment="1" applyProtection="1">
      <alignment horizontal="center" vertical="center"/>
      <protection locked="0"/>
    </xf>
    <xf numFmtId="165" fontId="83" fillId="0" borderId="52" xfId="0" applyNumberFormat="1" applyFont="1" applyBorder="1" applyAlignment="1" applyProtection="1">
      <alignment horizontal="center" vertical="center"/>
      <protection locked="0"/>
    </xf>
    <xf numFmtId="49" fontId="92" fillId="0" borderId="38" xfId="0" applyNumberFormat="1" applyFont="1" applyBorder="1" applyAlignment="1" applyProtection="1">
      <alignment horizontal="center" vertical="center"/>
      <protection locked="0"/>
    </xf>
    <xf numFmtId="0" fontId="92" fillId="0" borderId="1" xfId="0" applyFont="1" applyBorder="1" applyAlignment="1" applyProtection="1">
      <alignment vertical="center"/>
      <protection locked="0"/>
    </xf>
    <xf numFmtId="0" fontId="92" fillId="0" borderId="1" xfId="0" applyFont="1" applyBorder="1" applyAlignment="1" applyProtection="1">
      <alignment horizontal="center" vertical="center"/>
      <protection locked="0"/>
    </xf>
    <xf numFmtId="4" fontId="92" fillId="0" borderId="1" xfId="0" applyNumberFormat="1" applyFont="1" applyBorder="1" applyAlignment="1" applyProtection="1">
      <alignment horizontal="center" vertical="center"/>
      <protection locked="0"/>
    </xf>
    <xf numFmtId="49" fontId="92" fillId="0" borderId="1" xfId="0" applyNumberFormat="1" applyFont="1" applyBorder="1" applyAlignment="1" applyProtection="1">
      <alignment horizontal="center" vertical="center"/>
      <protection locked="0"/>
    </xf>
    <xf numFmtId="165" fontId="92" fillId="0" borderId="1" xfId="0" applyNumberFormat="1" applyFont="1" applyBorder="1" applyAlignment="1" applyProtection="1">
      <alignment horizontal="center" vertical="center"/>
      <protection locked="0"/>
    </xf>
    <xf numFmtId="165" fontId="92" fillId="0" borderId="2" xfId="0" applyNumberFormat="1" applyFont="1" applyBorder="1" applyAlignment="1" applyProtection="1">
      <alignment horizontal="center" vertical="center"/>
      <protection locked="0"/>
    </xf>
    <xf numFmtId="165" fontId="92" fillId="0" borderId="39" xfId="0" applyNumberFormat="1" applyFont="1" applyBorder="1" applyAlignment="1" applyProtection="1">
      <alignment horizontal="center" vertical="center"/>
      <protection locked="0"/>
    </xf>
    <xf numFmtId="2" fontId="93" fillId="0" borderId="1" xfId="0" applyNumberFormat="1" applyFont="1" applyBorder="1" applyAlignment="1" applyProtection="1">
      <alignment horizontal="center" vertical="center"/>
      <protection locked="0"/>
    </xf>
    <xf numFmtId="0" fontId="92" fillId="0" borderId="1" xfId="0" applyFont="1" applyBorder="1" applyProtection="1">
      <protection locked="0"/>
    </xf>
    <xf numFmtId="0" fontId="92" fillId="0" borderId="2" xfId="0" applyFont="1" applyBorder="1" applyProtection="1">
      <protection locked="0"/>
    </xf>
    <xf numFmtId="0" fontId="92" fillId="0" borderId="39" xfId="0" applyFont="1" applyBorder="1" applyProtection="1">
      <protection locked="0"/>
    </xf>
    <xf numFmtId="0" fontId="83" fillId="0" borderId="38" xfId="0" applyFont="1" applyBorder="1" applyAlignment="1" applyProtection="1">
      <alignment horizontal="center" vertical="center"/>
      <protection locked="0"/>
    </xf>
    <xf numFmtId="0" fontId="83" fillId="0" borderId="1" xfId="0" applyFont="1" applyBorder="1" applyAlignment="1" applyProtection="1">
      <alignment horizontal="left" vertical="center"/>
      <protection locked="0"/>
    </xf>
    <xf numFmtId="165" fontId="83" fillId="0" borderId="50" xfId="0" applyNumberFormat="1" applyFont="1" applyBorder="1" applyAlignment="1" applyProtection="1">
      <alignment horizontal="center" vertical="center"/>
      <protection locked="0"/>
    </xf>
    <xf numFmtId="165" fontId="92" fillId="0" borderId="1" xfId="0" applyNumberFormat="1" applyFont="1" applyBorder="1" applyAlignment="1" applyProtection="1">
      <alignment vertical="center" wrapText="1"/>
      <protection locked="0"/>
    </xf>
    <xf numFmtId="4" fontId="93" fillId="0" borderId="1" xfId="0" applyNumberFormat="1" applyFont="1" applyBorder="1" applyAlignment="1" applyProtection="1">
      <alignment horizontal="center" vertical="center"/>
      <protection locked="0"/>
    </xf>
    <xf numFmtId="165" fontId="92" fillId="0" borderId="1" xfId="0" applyNumberFormat="1" applyFont="1" applyBorder="1" applyAlignment="1" applyProtection="1">
      <alignment vertical="center"/>
      <protection locked="0"/>
    </xf>
    <xf numFmtId="165" fontId="92" fillId="0" borderId="9" xfId="0" applyNumberFormat="1" applyFont="1" applyBorder="1" applyAlignment="1" applyProtection="1">
      <alignment horizontal="center" vertical="center"/>
      <protection locked="0"/>
    </xf>
    <xf numFmtId="0" fontId="92" fillId="0" borderId="38" xfId="0" applyFont="1" applyBorder="1" applyProtection="1">
      <protection locked="0"/>
    </xf>
    <xf numFmtId="0" fontId="83" fillId="0" borderId="38" xfId="0" applyFont="1" applyBorder="1" applyAlignment="1" applyProtection="1">
      <alignment horizontal="center"/>
      <protection locked="0"/>
    </xf>
    <xf numFmtId="0" fontId="92" fillId="0" borderId="38" xfId="0" applyFont="1" applyBorder="1" applyAlignment="1" applyProtection="1">
      <alignment horizontal="center" vertical="center"/>
      <protection locked="0"/>
    </xf>
    <xf numFmtId="4" fontId="93" fillId="0" borderId="1" xfId="0" applyNumberFormat="1" applyFont="1" applyFill="1" applyBorder="1" applyAlignment="1" applyProtection="1">
      <alignment horizontal="center" vertical="center"/>
      <protection locked="0"/>
    </xf>
    <xf numFmtId="165" fontId="92" fillId="0" borderId="39" xfId="0" applyNumberFormat="1" applyFont="1" applyFill="1" applyBorder="1" applyAlignment="1" applyProtection="1">
      <alignment horizontal="center" vertical="center"/>
      <protection locked="0"/>
    </xf>
    <xf numFmtId="165" fontId="92" fillId="0" borderId="1" xfId="0" applyNumberFormat="1" applyFont="1" applyBorder="1" applyAlignment="1" applyProtection="1">
      <alignment horizontal="left" vertical="center" wrapText="1"/>
      <protection locked="0"/>
    </xf>
    <xf numFmtId="165" fontId="92" fillId="0" borderId="48" xfId="0" applyNumberFormat="1" applyFont="1" applyBorder="1" applyAlignment="1" applyProtection="1">
      <alignment horizontal="center" vertical="center"/>
      <protection locked="0"/>
    </xf>
    <xf numFmtId="0" fontId="92" fillId="0" borderId="0" xfId="0" applyFont="1" applyBorder="1" applyAlignment="1" applyProtection="1">
      <alignment vertical="center"/>
      <protection locked="0"/>
    </xf>
    <xf numFmtId="0" fontId="92" fillId="0" borderId="1" xfId="0" quotePrefix="1" applyFont="1" applyBorder="1" applyAlignment="1" applyProtection="1">
      <alignment horizontal="center" vertical="center"/>
      <protection locked="0"/>
    </xf>
    <xf numFmtId="0" fontId="92" fillId="0" borderId="47" xfId="0" applyFont="1" applyBorder="1" applyAlignment="1" applyProtection="1">
      <alignment horizontal="center" vertical="center"/>
      <protection locked="0"/>
    </xf>
    <xf numFmtId="0" fontId="92" fillId="0" borderId="12" xfId="0" applyFont="1" applyBorder="1" applyProtection="1">
      <protection locked="0"/>
    </xf>
    <xf numFmtId="0" fontId="92" fillId="0" borderId="12" xfId="0" applyFont="1" applyBorder="1" applyAlignment="1" applyProtection="1">
      <alignment horizontal="center"/>
      <protection locked="0"/>
    </xf>
    <xf numFmtId="4" fontId="93" fillId="0" borderId="12" xfId="0" applyNumberFormat="1" applyFont="1" applyBorder="1" applyAlignment="1" applyProtection="1">
      <alignment horizontal="center" vertical="center"/>
      <protection locked="0"/>
    </xf>
    <xf numFmtId="165" fontId="92" fillId="0" borderId="12" xfId="0" applyNumberFormat="1" applyFont="1" applyBorder="1" applyAlignment="1" applyProtection="1">
      <alignment horizontal="center"/>
      <protection locked="0"/>
    </xf>
    <xf numFmtId="165" fontId="92" fillId="0" borderId="10" xfId="0" applyNumberFormat="1" applyFont="1" applyBorder="1" applyAlignment="1" applyProtection="1">
      <alignment horizontal="center"/>
      <protection locked="0"/>
    </xf>
    <xf numFmtId="0" fontId="83" fillId="0" borderId="14" xfId="0" applyFont="1" applyBorder="1" applyAlignment="1" applyProtection="1">
      <alignment horizontal="center" vertical="center"/>
      <protection locked="0"/>
    </xf>
    <xf numFmtId="0" fontId="83" fillId="0" borderId="15" xfId="0" applyFont="1" applyBorder="1" applyAlignment="1" applyProtection="1">
      <alignment horizontal="center" vertical="center"/>
      <protection locked="0"/>
    </xf>
    <xf numFmtId="165" fontId="83" fillId="0" borderId="15" xfId="0" applyNumberFormat="1" applyFont="1" applyBorder="1" applyAlignment="1" applyProtection="1">
      <alignment horizontal="center" vertical="center"/>
      <protection locked="0"/>
    </xf>
    <xf numFmtId="165" fontId="83" fillId="0" borderId="16" xfId="0" applyNumberFormat="1" applyFont="1" applyBorder="1" applyAlignment="1" applyProtection="1">
      <alignment horizontal="center" vertical="center"/>
      <protection locked="0"/>
    </xf>
    <xf numFmtId="0" fontId="83" fillId="0" borderId="19" xfId="0" applyFont="1" applyBorder="1" applyAlignment="1" applyProtection="1">
      <alignment horizontal="center" vertical="center"/>
      <protection locked="0"/>
    </xf>
    <xf numFmtId="0" fontId="83" fillId="0" borderId="20" xfId="0" applyFont="1" applyBorder="1" applyAlignment="1" applyProtection="1">
      <alignment horizontal="center" vertical="center"/>
      <protection locked="0"/>
    </xf>
    <xf numFmtId="165" fontId="83" fillId="0" borderId="20" xfId="0" applyNumberFormat="1" applyFont="1" applyBorder="1" applyAlignment="1" applyProtection="1">
      <alignment horizontal="center" vertical="center"/>
      <protection locked="0"/>
    </xf>
    <xf numFmtId="165" fontId="83" fillId="0" borderId="21" xfId="0" applyNumberFormat="1" applyFont="1" applyBorder="1" applyAlignment="1" applyProtection="1">
      <alignment horizontal="center" vertical="center"/>
      <protection locked="0"/>
    </xf>
    <xf numFmtId="0" fontId="93" fillId="2" borderId="100" xfId="0" applyFont="1" applyFill="1" applyBorder="1" applyAlignment="1" applyProtection="1">
      <alignment horizontal="center" vertical="center"/>
      <protection locked="0"/>
    </xf>
    <xf numFmtId="0" fontId="93" fillId="2" borderId="66" xfId="0" applyFont="1" applyFill="1" applyBorder="1" applyAlignment="1" applyProtection="1">
      <alignment horizontal="center" vertical="center"/>
      <protection locked="0"/>
    </xf>
    <xf numFmtId="0" fontId="93" fillId="2" borderId="98" xfId="0" applyFont="1" applyFill="1" applyBorder="1" applyAlignment="1" applyProtection="1">
      <alignment horizontal="center" vertical="center"/>
      <protection locked="0"/>
    </xf>
    <xf numFmtId="0" fontId="91" fillId="2" borderId="17" xfId="0" applyFont="1" applyFill="1" applyBorder="1" applyAlignment="1" applyProtection="1">
      <alignment horizontal="right" vertical="center"/>
      <protection locked="0"/>
    </xf>
    <xf numFmtId="0" fontId="91" fillId="2" borderId="0" xfId="0" applyFont="1" applyFill="1" applyBorder="1" applyAlignment="1" applyProtection="1">
      <alignment horizontal="right" vertical="center"/>
      <protection locked="0"/>
    </xf>
    <xf numFmtId="4" fontId="91" fillId="2" borderId="18" xfId="5" applyNumberFormat="1" applyFont="1" applyFill="1" applyBorder="1" applyAlignment="1" applyProtection="1">
      <alignment horizontal="right" vertical="center"/>
      <protection locked="0"/>
    </xf>
    <xf numFmtId="0" fontId="91" fillId="5" borderId="110" xfId="7" applyFont="1" applyFill="1" applyBorder="1" applyAlignment="1" applyProtection="1">
      <alignment horizontal="center" vertical="center"/>
      <protection locked="0"/>
    </xf>
    <xf numFmtId="0" fontId="91" fillId="5" borderId="112" xfId="7" applyFont="1" applyFill="1" applyBorder="1" applyAlignment="1" applyProtection="1">
      <alignment horizontal="center" vertical="center"/>
      <protection locked="0"/>
    </xf>
    <xf numFmtId="0" fontId="91" fillId="5" borderId="111" xfId="7" applyFont="1" applyFill="1" applyBorder="1" applyAlignment="1" applyProtection="1">
      <alignment horizontal="center" vertical="center"/>
      <protection locked="0"/>
    </xf>
    <xf numFmtId="4" fontId="91" fillId="5" borderId="110" xfId="8" applyNumberFormat="1" applyFont="1" applyFill="1" applyBorder="1" applyAlignment="1" applyProtection="1">
      <alignment horizontal="center" vertical="center"/>
      <protection locked="0"/>
    </xf>
    <xf numFmtId="4" fontId="91" fillId="5" borderId="111" xfId="8" applyNumberFormat="1" applyFont="1" applyFill="1" applyBorder="1" applyAlignment="1" applyProtection="1">
      <alignment horizontal="center" vertical="center"/>
      <protection locked="0"/>
    </xf>
    <xf numFmtId="4" fontId="91" fillId="5" borderId="22" xfId="7" applyNumberFormat="1" applyFont="1" applyFill="1" applyBorder="1" applyAlignment="1" applyProtection="1">
      <alignment horizontal="center" vertical="center"/>
      <protection locked="0"/>
    </xf>
    <xf numFmtId="0" fontId="93" fillId="4" borderId="17" xfId="7" quotePrefix="1" applyFont="1" applyFill="1" applyBorder="1" applyAlignment="1" applyProtection="1">
      <alignment horizontal="left"/>
      <protection locked="0"/>
    </xf>
    <xf numFmtId="0" fontId="93" fillId="4" borderId="0" xfId="7" quotePrefix="1" applyFont="1" applyFill="1" applyBorder="1" applyAlignment="1" applyProtection="1">
      <alignment horizontal="left"/>
      <protection locked="0"/>
    </xf>
    <xf numFmtId="4" fontId="91" fillId="4" borderId="0" xfId="8" applyNumberFormat="1" applyFont="1" applyFill="1" applyBorder="1" applyAlignment="1" applyProtection="1">
      <alignment horizontal="right"/>
      <protection locked="0"/>
    </xf>
    <xf numFmtId="10" fontId="91" fillId="4" borderId="18" xfId="7" applyNumberFormat="1" applyFont="1" applyFill="1" applyBorder="1" applyAlignment="1" applyProtection="1">
      <alignment horizontal="right"/>
      <protection locked="0"/>
    </xf>
    <xf numFmtId="0" fontId="93" fillId="4" borderId="17" xfId="7" quotePrefix="1" applyFont="1" applyFill="1" applyBorder="1" applyAlignment="1" applyProtection="1">
      <alignment horizontal="left" vertical="center"/>
      <protection locked="0"/>
    </xf>
    <xf numFmtId="0" fontId="93" fillId="4" borderId="0" xfId="7" quotePrefix="1" applyFont="1" applyFill="1" applyBorder="1" applyAlignment="1" applyProtection="1">
      <alignment horizontal="left" vertical="center"/>
      <protection locked="0"/>
    </xf>
    <xf numFmtId="4" fontId="91" fillId="4" borderId="0" xfId="8" applyNumberFormat="1" applyFont="1" applyFill="1" applyBorder="1" applyAlignment="1" applyProtection="1">
      <alignment horizontal="right" vertical="center"/>
      <protection locked="0"/>
    </xf>
    <xf numFmtId="10" fontId="91" fillId="4" borderId="18" xfId="8" applyNumberFormat="1" applyFont="1" applyFill="1" applyBorder="1" applyAlignment="1" applyProtection="1">
      <alignment horizontal="right" vertical="center"/>
      <protection locked="0"/>
    </xf>
    <xf numFmtId="0" fontId="93" fillId="4" borderId="19" xfId="7" quotePrefix="1" applyFont="1" applyFill="1" applyBorder="1" applyAlignment="1" applyProtection="1">
      <alignment horizontal="left" vertical="top"/>
      <protection locked="0"/>
    </xf>
    <xf numFmtId="0" fontId="93" fillId="4" borderId="20" xfId="7" quotePrefix="1" applyFont="1" applyFill="1" applyBorder="1" applyAlignment="1" applyProtection="1">
      <alignment horizontal="left" vertical="top"/>
      <protection locked="0"/>
    </xf>
    <xf numFmtId="4" fontId="91" fillId="4" borderId="20" xfId="8" applyNumberFormat="1" applyFont="1" applyFill="1" applyBorder="1" applyAlignment="1" applyProtection="1">
      <alignment horizontal="right" vertical="top"/>
      <protection locked="0"/>
    </xf>
    <xf numFmtId="10" fontId="91" fillId="4" borderId="21" xfId="7" applyNumberFormat="1" applyFont="1" applyFill="1" applyBorder="1" applyAlignment="1" applyProtection="1">
      <alignment horizontal="right" vertical="top"/>
      <protection locked="0"/>
    </xf>
    <xf numFmtId="0" fontId="92" fillId="0" borderId="5" xfId="0" applyFont="1" applyBorder="1" applyProtection="1"/>
    <xf numFmtId="4" fontId="92" fillId="0" borderId="1" xfId="0" applyNumberFormat="1" applyFont="1" applyBorder="1" applyAlignment="1" applyProtection="1">
      <alignment horizontal="center" vertical="center"/>
    </xf>
    <xf numFmtId="2" fontId="93" fillId="0" borderId="1" xfId="0" applyNumberFormat="1" applyFont="1" applyBorder="1" applyAlignment="1" applyProtection="1">
      <alignment horizontal="center" vertical="center"/>
    </xf>
    <xf numFmtId="0" fontId="92" fillId="0" borderId="1" xfId="0" applyFont="1" applyBorder="1" applyProtection="1"/>
    <xf numFmtId="4" fontId="93" fillId="0" borderId="1" xfId="0" applyNumberFormat="1" applyFont="1" applyBorder="1" applyAlignment="1" applyProtection="1">
      <alignment horizontal="center" vertical="center"/>
    </xf>
    <xf numFmtId="4" fontId="93" fillId="0" borderId="1" xfId="0" applyNumberFormat="1" applyFont="1" applyFill="1" applyBorder="1" applyAlignment="1" applyProtection="1">
      <alignment horizontal="center" vertical="center"/>
    </xf>
    <xf numFmtId="0" fontId="74" fillId="0" borderId="14" xfId="7" applyFont="1" applyBorder="1" applyAlignment="1" applyProtection="1">
      <alignment horizontal="center"/>
      <protection locked="0"/>
    </xf>
    <xf numFmtId="0" fontId="74" fillId="0" borderId="15" xfId="7" applyFont="1" applyBorder="1" applyAlignment="1" applyProtection="1">
      <alignment horizontal="center"/>
      <protection locked="0"/>
    </xf>
    <xf numFmtId="0" fontId="76" fillId="0" borderId="15" xfId="7" applyFont="1" applyBorder="1" applyProtection="1">
      <protection locked="0"/>
    </xf>
    <xf numFmtId="0" fontId="76" fillId="0" borderId="16" xfId="7" applyFont="1" applyBorder="1" applyProtection="1">
      <protection locked="0"/>
    </xf>
    <xf numFmtId="0" fontId="74" fillId="0" borderId="17" xfId="7" applyFont="1" applyBorder="1" applyAlignment="1" applyProtection="1">
      <alignment horizontal="center"/>
      <protection locked="0"/>
    </xf>
    <xf numFmtId="0" fontId="74" fillId="0" borderId="0" xfId="7" applyFont="1" applyBorder="1" applyAlignment="1" applyProtection="1">
      <alignment horizontal="center"/>
      <protection locked="0"/>
    </xf>
    <xf numFmtId="0" fontId="76" fillId="0" borderId="0" xfId="7" applyFont="1" applyBorder="1" applyProtection="1">
      <protection locked="0"/>
    </xf>
    <xf numFmtId="0" fontId="76" fillId="0" borderId="18" xfId="7" applyFont="1" applyBorder="1" applyProtection="1">
      <protection locked="0"/>
    </xf>
    <xf numFmtId="0" fontId="74" fillId="0" borderId="17" xfId="7" applyFont="1" applyBorder="1" applyProtection="1">
      <protection locked="0"/>
    </xf>
    <xf numFmtId="2" fontId="76" fillId="0" borderId="0" xfId="7" applyNumberFormat="1" applyFont="1" applyBorder="1" applyProtection="1">
      <protection locked="0"/>
    </xf>
    <xf numFmtId="0" fontId="76" fillId="0" borderId="17" xfId="7" applyFont="1" applyBorder="1" applyProtection="1">
      <protection locked="0"/>
    </xf>
    <xf numFmtId="0" fontId="78" fillId="0" borderId="17" xfId="19" applyFont="1" applyBorder="1" applyProtection="1">
      <protection locked="0"/>
    </xf>
    <xf numFmtId="0" fontId="78" fillId="0" borderId="0" xfId="19" applyFont="1" applyBorder="1" applyProtection="1">
      <protection locked="0"/>
    </xf>
    <xf numFmtId="0" fontId="78" fillId="0" borderId="18" xfId="19" applyFont="1" applyBorder="1" applyProtection="1">
      <protection locked="0"/>
    </xf>
    <xf numFmtId="0" fontId="78" fillId="0" borderId="0" xfId="18" applyFont="1" applyBorder="1" applyProtection="1">
      <protection locked="0"/>
    </xf>
    <xf numFmtId="0" fontId="78" fillId="0" borderId="0" xfId="18" applyFont="1" applyBorder="1" applyAlignment="1" applyProtection="1">
      <alignment horizontal="center"/>
      <protection locked="0"/>
    </xf>
    <xf numFmtId="0" fontId="77" fillId="0" borderId="0" xfId="19" applyFont="1" applyBorder="1" applyProtection="1">
      <protection locked="0"/>
    </xf>
    <xf numFmtId="165" fontId="78" fillId="0" borderId="0" xfId="19" applyNumberFormat="1" applyFont="1" applyBorder="1" applyProtection="1">
      <protection locked="0"/>
    </xf>
    <xf numFmtId="0" fontId="78" fillId="0" borderId="18" xfId="18" applyFont="1" applyBorder="1" applyProtection="1">
      <protection locked="0"/>
    </xf>
    <xf numFmtId="2" fontId="76" fillId="0" borderId="0" xfId="7" applyNumberFormat="1" applyFont="1" applyBorder="1" applyAlignment="1" applyProtection="1">
      <alignment horizontal="left" wrapText="1"/>
      <protection locked="0"/>
    </xf>
    <xf numFmtId="2" fontId="76" fillId="0" borderId="18" xfId="7" applyNumberFormat="1" applyFont="1" applyBorder="1" applyAlignment="1" applyProtection="1">
      <alignment horizontal="left" wrapText="1"/>
      <protection locked="0"/>
    </xf>
    <xf numFmtId="10" fontId="78" fillId="0" borderId="0" xfId="19" applyNumberFormat="1" applyFont="1" applyBorder="1" applyProtection="1">
      <protection locked="0"/>
    </xf>
    <xf numFmtId="0" fontId="77" fillId="5" borderId="1" xfId="19" applyFont="1" applyFill="1" applyBorder="1" applyAlignment="1" applyProtection="1">
      <alignment horizontal="center"/>
      <protection locked="0"/>
    </xf>
    <xf numFmtId="2" fontId="78" fillId="0" borderId="0" xfId="19" applyNumberFormat="1" applyFont="1" applyBorder="1" applyAlignment="1" applyProtection="1">
      <alignment horizontal="center"/>
      <protection locked="0"/>
    </xf>
    <xf numFmtId="2" fontId="78" fillId="0" borderId="1" xfId="19" applyNumberFormat="1" applyFont="1" applyBorder="1" applyAlignment="1" applyProtection="1">
      <alignment horizontal="center"/>
      <protection locked="0"/>
    </xf>
    <xf numFmtId="175" fontId="78" fillId="0" borderId="1" xfId="19" applyNumberFormat="1" applyFont="1" applyBorder="1" applyAlignment="1" applyProtection="1">
      <alignment horizontal="center"/>
      <protection locked="0"/>
    </xf>
    <xf numFmtId="171" fontId="78" fillId="0" borderId="1" xfId="19" applyNumberFormat="1" applyFont="1" applyBorder="1" applyAlignment="1" applyProtection="1">
      <alignment horizontal="center"/>
      <protection locked="0"/>
    </xf>
    <xf numFmtId="0" fontId="78" fillId="5" borderId="1" xfId="19" applyFont="1" applyFill="1" applyBorder="1" applyAlignment="1" applyProtection="1">
      <alignment vertical="center" wrapText="1"/>
      <protection locked="0"/>
    </xf>
    <xf numFmtId="0" fontId="78" fillId="5" borderId="1" xfId="19" applyFont="1" applyFill="1" applyBorder="1" applyAlignment="1" applyProtection="1">
      <alignment horizontal="center" vertical="center" wrapText="1"/>
      <protection locked="0"/>
    </xf>
    <xf numFmtId="0" fontId="1" fillId="0" borderId="3" xfId="6" applyBorder="1" applyAlignment="1" applyProtection="1">
      <alignment horizontal="left" vertical="top"/>
      <protection locked="0"/>
    </xf>
    <xf numFmtId="0" fontId="1" fillId="0" borderId="4" xfId="6" applyBorder="1" applyAlignment="1" applyProtection="1">
      <alignment horizontal="left" vertical="top"/>
      <protection locked="0"/>
    </xf>
    <xf numFmtId="0" fontId="78" fillId="0" borderId="1" xfId="19" applyFont="1" applyBorder="1" applyProtection="1">
      <protection locked="0"/>
    </xf>
    <xf numFmtId="0" fontId="76" fillId="0" borderId="0" xfId="19" applyFont="1" applyFill="1" applyBorder="1" applyProtection="1">
      <protection locked="0"/>
    </xf>
    <xf numFmtId="0" fontId="76" fillId="0" borderId="0" xfId="7" applyFont="1" applyBorder="1" applyAlignment="1" applyProtection="1">
      <alignment horizontal="left" vertical="top" wrapText="1"/>
      <protection locked="0"/>
    </xf>
    <xf numFmtId="0" fontId="76" fillId="0" borderId="18" xfId="7" applyFont="1" applyBorder="1" applyAlignment="1" applyProtection="1">
      <alignment horizontal="left" vertical="top" wrapText="1"/>
      <protection locked="0"/>
    </xf>
    <xf numFmtId="0" fontId="33" fillId="0" borderId="0" xfId="0" applyFont="1" applyBorder="1" applyAlignment="1" applyProtection="1">
      <alignment horizontal="center" vertical="center"/>
      <protection locked="0"/>
    </xf>
    <xf numFmtId="0" fontId="74" fillId="0" borderId="0" xfId="0" applyFont="1" applyBorder="1" applyAlignment="1" applyProtection="1">
      <alignment horizontal="center" vertical="center" wrapText="1"/>
      <protection locked="0"/>
    </xf>
    <xf numFmtId="167" fontId="76" fillId="0" borderId="18" xfId="0" applyNumberFormat="1" applyFont="1" applyBorder="1" applyAlignment="1" applyProtection="1">
      <alignment horizontal="center" vertical="center" wrapText="1"/>
      <protection locked="0"/>
    </xf>
    <xf numFmtId="4" fontId="78" fillId="0" borderId="0" xfId="3" applyNumberFormat="1" applyFont="1" applyBorder="1" applyAlignment="1" applyProtection="1">
      <alignment horizontal="center" vertical="center" wrapText="1"/>
      <protection locked="0"/>
    </xf>
    <xf numFmtId="10" fontId="76" fillId="0" borderId="0" xfId="0" applyNumberFormat="1" applyFont="1" applyBorder="1" applyAlignment="1" applyProtection="1">
      <alignment horizontal="center" vertical="center" wrapText="1"/>
      <protection locked="0"/>
    </xf>
    <xf numFmtId="0" fontId="78" fillId="0" borderId="0" xfId="3" applyFont="1" applyBorder="1" applyAlignment="1" applyProtection="1">
      <alignment horizontal="center" vertical="center" wrapText="1"/>
      <protection locked="0"/>
    </xf>
    <xf numFmtId="4" fontId="76" fillId="0" borderId="18" xfId="0" applyNumberFormat="1" applyFont="1" applyBorder="1" applyAlignment="1" applyProtection="1">
      <alignment horizontal="center" vertical="center" wrapText="1"/>
      <protection locked="0"/>
    </xf>
    <xf numFmtId="0" fontId="74" fillId="0" borderId="0" xfId="0" applyFont="1" applyBorder="1" applyAlignment="1" applyProtection="1">
      <alignment horizontal="right" vertical="top" wrapText="1"/>
      <protection locked="0"/>
    </xf>
    <xf numFmtId="0" fontId="76" fillId="0" borderId="0" xfId="0" applyFont="1" applyBorder="1" applyAlignment="1" applyProtection="1">
      <alignment horizontal="center" vertical="center" wrapText="1"/>
      <protection locked="0"/>
    </xf>
    <xf numFmtId="2" fontId="76" fillId="0" borderId="0" xfId="0" applyNumberFormat="1" applyFont="1" applyBorder="1" applyAlignment="1" applyProtection="1">
      <alignment horizontal="center" vertical="center" wrapText="1"/>
      <protection locked="0"/>
    </xf>
    <xf numFmtId="0" fontId="74" fillId="0" borderId="0" xfId="0" applyFont="1" applyBorder="1" applyAlignment="1" applyProtection="1">
      <alignment horizontal="right" vertical="center" wrapText="1"/>
      <protection locked="0"/>
    </xf>
    <xf numFmtId="4" fontId="78" fillId="0" borderId="0" xfId="3" applyNumberFormat="1" applyFont="1" applyBorder="1" applyAlignment="1" applyProtection="1">
      <alignment horizontal="center" vertical="center" wrapText="1"/>
      <protection locked="0"/>
    </xf>
    <xf numFmtId="4" fontId="77" fillId="0" borderId="0" xfId="3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center" vertical="center" wrapText="1"/>
      <protection locked="0"/>
    </xf>
    <xf numFmtId="2" fontId="29" fillId="0" borderId="0" xfId="0" applyNumberFormat="1" applyFont="1" applyBorder="1" applyAlignment="1" applyProtection="1">
      <alignment horizontal="center" vertical="center" wrapText="1"/>
      <protection locked="0"/>
    </xf>
    <xf numFmtId="4" fontId="29" fillId="0" borderId="18" xfId="0" applyNumberFormat="1" applyFont="1" applyBorder="1" applyAlignment="1" applyProtection="1">
      <alignment horizontal="center" vertical="center" wrapText="1"/>
      <protection locked="0"/>
    </xf>
    <xf numFmtId="167" fontId="29" fillId="0" borderId="18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wrapText="1"/>
      <protection locked="0"/>
    </xf>
    <xf numFmtId="0" fontId="30" fillId="0" borderId="0" xfId="0" applyFont="1" applyBorder="1" applyAlignment="1" applyProtection="1">
      <alignment horizontal="right" vertical="center" wrapText="1"/>
      <protection locked="0"/>
    </xf>
    <xf numFmtId="4" fontId="31" fillId="0" borderId="0" xfId="3" applyNumberFormat="1" applyFont="1" applyBorder="1" applyAlignment="1" applyProtection="1">
      <alignment horizontal="right" vertical="center" wrapText="1"/>
      <protection locked="0"/>
    </xf>
    <xf numFmtId="0" fontId="29" fillId="0" borderId="0" xfId="0" applyFont="1" applyBorder="1" applyAlignment="1" applyProtection="1">
      <alignment horizontal="left" vertical="top" wrapText="1"/>
      <protection locked="0"/>
    </xf>
    <xf numFmtId="4" fontId="5" fillId="0" borderId="0" xfId="3" applyNumberFormat="1" applyFont="1" applyBorder="1" applyAlignment="1" applyProtection="1">
      <alignment horizontal="center" vertical="center" wrapText="1"/>
      <protection locked="0"/>
    </xf>
    <xf numFmtId="10" fontId="29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0" xfId="3" applyFont="1" applyBorder="1" applyAlignment="1" applyProtection="1">
      <alignment horizontal="center" vertical="center" wrapText="1"/>
      <protection locked="0"/>
    </xf>
    <xf numFmtId="4" fontId="31" fillId="0" borderId="0" xfId="3" applyNumberFormat="1" applyFont="1" applyBorder="1" applyAlignment="1" applyProtection="1">
      <alignment horizontal="center" vertical="center" wrapText="1"/>
      <protection locked="0"/>
    </xf>
    <xf numFmtId="174" fontId="5" fillId="0" borderId="0" xfId="3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Border="1" applyAlignment="1" applyProtection="1">
      <alignment horizontal="left" vertical="top" wrapText="1"/>
      <protection locked="0"/>
    </xf>
    <xf numFmtId="4" fontId="5" fillId="0" borderId="0" xfId="3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0" fillId="0" borderId="0" xfId="0" applyFont="1" applyBorder="1" applyAlignment="1" applyProtection="1">
      <alignment horizontal="right" vertical="top" wrapText="1"/>
      <protection locked="0"/>
    </xf>
    <xf numFmtId="0" fontId="30" fillId="0" borderId="0" xfId="0" applyFont="1" applyBorder="1" applyAlignment="1" applyProtection="1">
      <alignment horizontal="right" vertical="top" wrapText="1"/>
      <protection locked="0"/>
    </xf>
    <xf numFmtId="4" fontId="30" fillId="0" borderId="0" xfId="0" applyNumberFormat="1" applyFont="1" applyBorder="1" applyAlignment="1" applyProtection="1">
      <alignment horizontal="right" vertical="center" wrapText="1"/>
      <protection locked="0"/>
    </xf>
    <xf numFmtId="4" fontId="30" fillId="0" borderId="18" xfId="0" applyNumberFormat="1" applyFont="1" applyBorder="1" applyAlignment="1" applyProtection="1">
      <alignment horizontal="right" vertical="center" wrapText="1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79" fillId="0" borderId="0" xfId="19" applyFont="1" applyBorder="1" applyProtection="1">
      <protection locked="0"/>
    </xf>
    <xf numFmtId="0" fontId="79" fillId="0" borderId="0" xfId="19" applyFont="1" applyBorder="1" applyAlignment="1" applyProtection="1">
      <alignment horizontal="center"/>
      <protection locked="0"/>
    </xf>
    <xf numFmtId="0" fontId="79" fillId="0" borderId="17" xfId="19" applyFont="1" applyBorder="1" applyProtection="1">
      <protection locked="0"/>
    </xf>
    <xf numFmtId="0" fontId="80" fillId="0" borderId="0" xfId="19" applyFont="1" applyBorder="1" applyProtection="1">
      <protection locked="0"/>
    </xf>
    <xf numFmtId="0" fontId="42" fillId="0" borderId="0" xfId="7" applyFont="1" applyBorder="1" applyProtection="1">
      <protection locked="0"/>
    </xf>
    <xf numFmtId="0" fontId="79" fillId="0" borderId="18" xfId="19" applyFont="1" applyBorder="1" applyProtection="1"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wrapText="1"/>
      <protection locked="0"/>
    </xf>
    <xf numFmtId="4" fontId="77" fillId="0" borderId="0" xfId="3" applyNumberFormat="1" applyFont="1" applyBorder="1" applyAlignment="1" applyProtection="1">
      <alignment horizontal="left" vertical="center" wrapText="1"/>
      <protection locked="0"/>
    </xf>
    <xf numFmtId="44" fontId="76" fillId="0" borderId="18" xfId="0" applyNumberFormat="1" applyFont="1" applyBorder="1" applyAlignment="1" applyProtection="1">
      <alignment horizontal="center" vertical="center" wrapText="1"/>
      <protection locked="0"/>
    </xf>
    <xf numFmtId="0" fontId="76" fillId="0" borderId="0" xfId="0" applyFont="1" applyBorder="1" applyAlignment="1" applyProtection="1">
      <alignment vertical="top" wrapText="1"/>
      <protection locked="0"/>
    </xf>
    <xf numFmtId="4" fontId="78" fillId="0" borderId="0" xfId="3" applyNumberFormat="1" applyFont="1" applyBorder="1" applyAlignment="1" applyProtection="1">
      <alignment horizontal="center" vertical="center"/>
      <protection locked="0"/>
    </xf>
    <xf numFmtId="0" fontId="82" fillId="0" borderId="0" xfId="0" applyFont="1" applyBorder="1" applyProtection="1">
      <protection locked="0"/>
    </xf>
    <xf numFmtId="167" fontId="78" fillId="0" borderId="0" xfId="3" applyNumberFormat="1" applyFont="1" applyBorder="1" applyAlignment="1" applyProtection="1">
      <alignment horizontal="center" vertical="center" wrapText="1"/>
      <protection locked="0"/>
    </xf>
    <xf numFmtId="44" fontId="76" fillId="0" borderId="0" xfId="0" applyNumberFormat="1" applyFont="1" applyBorder="1" applyAlignment="1" applyProtection="1">
      <alignment horizontal="center" vertical="center" wrapText="1"/>
      <protection locked="0"/>
    </xf>
    <xf numFmtId="0" fontId="81" fillId="0" borderId="17" xfId="19" applyFon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82" fillId="0" borderId="20" xfId="0" applyFont="1" applyBorder="1" applyAlignment="1" applyProtection="1">
      <alignment horizontal="center" vertical="center"/>
      <protection locked="0"/>
    </xf>
    <xf numFmtId="0" fontId="82" fillId="0" borderId="20" xfId="0" applyFont="1" applyBorder="1" applyAlignment="1" applyProtection="1">
      <alignment wrapText="1"/>
      <protection locked="0"/>
    </xf>
    <xf numFmtId="0" fontId="76" fillId="0" borderId="20" xfId="0" applyFont="1" applyBorder="1" applyAlignment="1" applyProtection="1">
      <alignment horizontal="center" vertical="center" wrapText="1"/>
      <protection locked="0"/>
    </xf>
    <xf numFmtId="0" fontId="76" fillId="0" borderId="20" xfId="0" applyFont="1" applyBorder="1" applyAlignment="1" applyProtection="1">
      <alignment horizontal="right" vertical="top" wrapText="1"/>
      <protection locked="0"/>
    </xf>
    <xf numFmtId="44" fontId="74" fillId="0" borderId="20" xfId="0" applyNumberFormat="1" applyFont="1" applyBorder="1" applyAlignment="1" applyProtection="1">
      <alignment horizontal="right" vertical="top" wrapText="1"/>
      <protection locked="0"/>
    </xf>
    <xf numFmtId="44" fontId="74" fillId="0" borderId="21" xfId="0" applyNumberFormat="1" applyFont="1" applyBorder="1" applyAlignment="1" applyProtection="1">
      <alignment horizontal="right" vertical="top" wrapText="1"/>
      <protection locked="0"/>
    </xf>
    <xf numFmtId="171" fontId="78" fillId="5" borderId="2" xfId="20" applyNumberFormat="1" applyFont="1" applyFill="1" applyBorder="1" applyAlignment="1" applyProtection="1">
      <alignment horizontal="center" vertical="center" wrapText="1"/>
    </xf>
    <xf numFmtId="171" fontId="78" fillId="5" borderId="4" xfId="20" applyNumberFormat="1" applyFont="1" applyFill="1" applyBorder="1" applyAlignment="1" applyProtection="1">
      <alignment horizontal="center" vertical="center" wrapText="1"/>
    </xf>
    <xf numFmtId="0" fontId="78" fillId="5" borderId="1" xfId="20" applyFont="1" applyFill="1" applyBorder="1" applyAlignment="1" applyProtection="1">
      <alignment horizontal="center" vertical="center"/>
    </xf>
    <xf numFmtId="2" fontId="78" fillId="0" borderId="1" xfId="20" applyNumberFormat="1" applyFont="1" applyBorder="1" applyAlignment="1" applyProtection="1">
      <alignment horizontal="center" vertical="top"/>
    </xf>
    <xf numFmtId="165" fontId="78" fillId="0" borderId="1" xfId="20" quotePrefix="1" applyNumberFormat="1" applyFont="1" applyBorder="1" applyAlignment="1" applyProtection="1">
      <alignment horizontal="center" vertical="top"/>
    </xf>
    <xf numFmtId="0" fontId="78" fillId="0" borderId="39" xfId="19" applyNumberFormat="1" applyFont="1" applyBorder="1" applyAlignment="1" applyProtection="1">
      <alignment horizontal="center" vertical="top"/>
    </xf>
    <xf numFmtId="165" fontId="78" fillId="0" borderId="39" xfId="19" applyNumberFormat="1" applyFont="1" applyBorder="1" applyAlignment="1" applyProtection="1">
      <alignment horizontal="center" vertical="top"/>
    </xf>
    <xf numFmtId="0" fontId="78" fillId="0" borderId="0" xfId="20" applyFont="1" applyBorder="1" applyAlignment="1" applyProtection="1">
      <alignment horizontal="center" vertical="top"/>
    </xf>
    <xf numFmtId="164" fontId="78" fillId="0" borderId="0" xfId="8" applyFont="1" applyBorder="1" applyAlignment="1" applyProtection="1">
      <alignment horizontal="right" vertical="top"/>
    </xf>
    <xf numFmtId="0" fontId="76" fillId="0" borderId="0" xfId="19" applyFont="1" applyFill="1" applyBorder="1" applyProtection="1"/>
    <xf numFmtId="2" fontId="78" fillId="0" borderId="18" xfId="19" applyNumberFormat="1" applyFont="1" applyBorder="1" applyAlignment="1" applyProtection="1">
      <alignment horizontal="right" vertical="top"/>
    </xf>
    <xf numFmtId="172" fontId="78" fillId="0" borderId="0" xfId="8" applyNumberFormat="1" applyFont="1" applyBorder="1" applyAlignment="1" applyProtection="1">
      <alignment horizontal="right" vertical="top"/>
    </xf>
    <xf numFmtId="2" fontId="78" fillId="0" borderId="0" xfId="20" applyNumberFormat="1" applyFont="1" applyBorder="1" applyAlignment="1" applyProtection="1">
      <alignment horizontal="right" vertical="top"/>
    </xf>
    <xf numFmtId="164" fontId="78" fillId="0" borderId="0" xfId="8" applyFont="1" applyBorder="1" applyAlignment="1" applyProtection="1">
      <alignment horizontal="center" vertical="center"/>
    </xf>
    <xf numFmtId="0" fontId="76" fillId="0" borderId="0" xfId="19" applyFont="1" applyFill="1" applyBorder="1" applyAlignment="1" applyProtection="1">
      <alignment horizontal="center" vertical="center"/>
    </xf>
    <xf numFmtId="2" fontId="78" fillId="0" borderId="18" xfId="19" applyNumberFormat="1" applyFont="1" applyBorder="1" applyAlignment="1" applyProtection="1">
      <alignment horizontal="center" vertical="center"/>
    </xf>
    <xf numFmtId="167" fontId="76" fillId="0" borderId="18" xfId="0" applyNumberFormat="1" applyFont="1" applyBorder="1" applyAlignment="1" applyProtection="1">
      <alignment horizontal="center" vertical="center" wrapText="1"/>
    </xf>
    <xf numFmtId="4" fontId="76" fillId="0" borderId="18" xfId="0" applyNumberFormat="1" applyFont="1" applyBorder="1" applyAlignment="1" applyProtection="1">
      <alignment horizontal="center" vertical="center" wrapText="1"/>
    </xf>
    <xf numFmtId="4" fontId="74" fillId="0" borderId="0" xfId="0" applyNumberFormat="1" applyFont="1" applyBorder="1" applyAlignment="1" applyProtection="1">
      <alignment horizontal="right" vertical="top" wrapText="1"/>
    </xf>
    <xf numFmtId="4" fontId="74" fillId="0" borderId="18" xfId="0" applyNumberFormat="1" applyFont="1" applyBorder="1" applyAlignment="1" applyProtection="1">
      <alignment horizontal="right" vertical="top" wrapText="1"/>
    </xf>
    <xf numFmtId="0" fontId="76" fillId="0" borderId="0" xfId="0" applyFont="1" applyBorder="1" applyAlignment="1" applyProtection="1">
      <alignment horizontal="center" vertical="center" wrapText="1"/>
    </xf>
    <xf numFmtId="2" fontId="76" fillId="0" borderId="0" xfId="0" applyNumberFormat="1" applyFont="1" applyBorder="1" applyAlignment="1" applyProtection="1">
      <alignment horizontal="center" vertical="center" wrapText="1"/>
    </xf>
    <xf numFmtId="4" fontId="78" fillId="0" borderId="0" xfId="3" applyNumberFormat="1" applyFont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horizontal="center" vertical="center" wrapText="1"/>
    </xf>
    <xf numFmtId="2" fontId="29" fillId="0" borderId="0" xfId="0" applyNumberFormat="1" applyFont="1" applyBorder="1" applyAlignment="1" applyProtection="1">
      <alignment horizontal="center" vertical="center" wrapText="1"/>
    </xf>
    <xf numFmtId="167" fontId="29" fillId="0" borderId="18" xfId="0" applyNumberFormat="1" applyFont="1" applyBorder="1" applyAlignment="1" applyProtection="1">
      <alignment horizontal="center" vertical="center" wrapText="1"/>
    </xf>
    <xf numFmtId="4" fontId="29" fillId="0" borderId="18" xfId="0" applyNumberFormat="1" applyFont="1" applyBorder="1" applyAlignment="1" applyProtection="1">
      <alignment horizontal="center" vertical="center" wrapText="1"/>
    </xf>
    <xf numFmtId="170" fontId="1" fillId="0" borderId="0" xfId="0" applyNumberFormat="1" applyFont="1" applyBorder="1" applyAlignment="1" applyProtection="1">
      <alignment horizontal="center" vertical="center" wrapText="1"/>
    </xf>
    <xf numFmtId="2" fontId="1" fillId="0" borderId="0" xfId="0" applyNumberFormat="1" applyFont="1" applyBorder="1" applyAlignment="1" applyProtection="1">
      <alignment horizontal="center" vertical="center" wrapText="1"/>
    </xf>
    <xf numFmtId="167" fontId="1" fillId="0" borderId="18" xfId="0" applyNumberFormat="1" applyFont="1" applyBorder="1" applyAlignment="1" applyProtection="1">
      <alignment horizontal="center" vertical="center" wrapText="1"/>
    </xf>
    <xf numFmtId="170" fontId="29" fillId="0" borderId="0" xfId="0" applyNumberFormat="1" applyFont="1" applyBorder="1" applyAlignment="1" applyProtection="1">
      <alignment horizontal="center" vertical="center" wrapText="1"/>
    </xf>
    <xf numFmtId="10" fontId="29" fillId="0" borderId="0" xfId="0" applyNumberFormat="1" applyFont="1" applyBorder="1" applyAlignment="1" applyProtection="1">
      <alignment horizontal="center" vertical="center" wrapText="1"/>
    </xf>
    <xf numFmtId="4" fontId="30" fillId="0" borderId="0" xfId="0" applyNumberFormat="1" applyFont="1" applyBorder="1" applyAlignment="1" applyProtection="1">
      <alignment horizontal="right" vertical="center" wrapText="1"/>
    </xf>
    <xf numFmtId="4" fontId="30" fillId="0" borderId="18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</xf>
    <xf numFmtId="174" fontId="5" fillId="0" borderId="0" xfId="3" applyNumberFormat="1" applyFont="1" applyBorder="1" applyAlignment="1" applyProtection="1">
      <alignment horizontal="center" vertical="center" wrapText="1"/>
    </xf>
    <xf numFmtId="4" fontId="30" fillId="0" borderId="0" xfId="0" applyNumberFormat="1" applyFont="1" applyBorder="1" applyAlignment="1" applyProtection="1">
      <alignment horizontal="right" vertical="center" wrapText="1"/>
    </xf>
    <xf numFmtId="4" fontId="30" fillId="0" borderId="18" xfId="0" applyNumberFormat="1" applyFont="1" applyBorder="1" applyAlignment="1" applyProtection="1">
      <alignment horizontal="right" vertical="center" wrapText="1"/>
    </xf>
    <xf numFmtId="0" fontId="76" fillId="0" borderId="0" xfId="7" applyFont="1" applyBorder="1" applyProtection="1"/>
    <xf numFmtId="0" fontId="78" fillId="0" borderId="18" xfId="18" applyFont="1" applyBorder="1" applyProtection="1"/>
    <xf numFmtId="166" fontId="78" fillId="0" borderId="0" xfId="8" applyNumberFormat="1" applyFont="1" applyBorder="1" applyAlignment="1" applyProtection="1">
      <alignment horizontal="right" vertical="top"/>
    </xf>
    <xf numFmtId="0" fontId="76" fillId="0" borderId="0" xfId="19" applyFont="1" applyFill="1" applyBorder="1" applyAlignment="1" applyProtection="1">
      <alignment vertical="center"/>
    </xf>
    <xf numFmtId="0" fontId="62" fillId="2" borderId="94" xfId="0" applyFont="1" applyFill="1" applyBorder="1" applyAlignment="1" applyProtection="1">
      <alignment vertical="center"/>
      <protection locked="0"/>
    </xf>
    <xf numFmtId="0" fontId="65" fillId="14" borderId="15" xfId="0" applyFont="1" applyFill="1" applyBorder="1" applyAlignment="1" applyProtection="1">
      <alignment horizontal="center" wrapText="1"/>
      <protection locked="0"/>
    </xf>
    <xf numFmtId="0" fontId="65" fillId="14" borderId="16" xfId="0" applyFont="1" applyFill="1" applyBorder="1" applyAlignment="1" applyProtection="1">
      <alignment horizontal="center" wrapText="1"/>
      <protection locked="0"/>
    </xf>
    <xf numFmtId="0" fontId="62" fillId="2" borderId="95" xfId="0" applyFont="1" applyFill="1" applyBorder="1" applyAlignment="1" applyProtection="1">
      <alignment vertical="center"/>
      <protection locked="0"/>
    </xf>
    <xf numFmtId="0" fontId="65" fillId="14" borderId="0" xfId="0" applyFont="1" applyFill="1" applyBorder="1" applyAlignment="1" applyProtection="1">
      <alignment horizontal="center" wrapText="1"/>
      <protection locked="0"/>
    </xf>
    <xf numFmtId="0" fontId="65" fillId="14" borderId="18" xfId="0" applyFont="1" applyFill="1" applyBorder="1" applyAlignment="1" applyProtection="1">
      <alignment horizontal="center" wrapText="1"/>
      <protection locked="0"/>
    </xf>
    <xf numFmtId="0" fontId="65" fillId="14" borderId="0" xfId="0" applyFont="1" applyFill="1" applyBorder="1" applyAlignment="1" applyProtection="1">
      <alignment horizontal="center" vertical="center" wrapText="1"/>
      <protection locked="0"/>
    </xf>
    <xf numFmtId="0" fontId="65" fillId="14" borderId="18" xfId="0" applyFont="1" applyFill="1" applyBorder="1" applyAlignment="1" applyProtection="1">
      <alignment horizontal="center" vertical="center" wrapText="1"/>
      <protection locked="0"/>
    </xf>
    <xf numFmtId="0" fontId="65" fillId="14" borderId="0" xfId="0" applyFont="1" applyFill="1" applyBorder="1" applyAlignment="1" applyProtection="1">
      <alignment horizontal="center" vertical="top" wrapText="1"/>
      <protection locked="0"/>
    </xf>
    <xf numFmtId="0" fontId="65" fillId="14" borderId="18" xfId="0" applyFont="1" applyFill="1" applyBorder="1" applyAlignment="1" applyProtection="1">
      <alignment horizontal="center" vertical="top" wrapText="1"/>
      <protection locked="0"/>
    </xf>
    <xf numFmtId="0" fontId="69" fillId="2" borderId="95" xfId="0" applyFont="1" applyFill="1" applyBorder="1" applyAlignment="1" applyProtection="1">
      <alignment vertical="center"/>
      <protection locked="0"/>
    </xf>
    <xf numFmtId="0" fontId="70" fillId="14" borderId="66" xfId="0" applyFont="1" applyFill="1" applyBorder="1" applyAlignment="1" applyProtection="1">
      <alignment horizontal="center" vertical="top" wrapText="1"/>
      <protection locked="0"/>
    </xf>
    <xf numFmtId="0" fontId="70" fillId="14" borderId="13" xfId="0" applyFont="1" applyFill="1" applyBorder="1" applyAlignment="1" applyProtection="1">
      <alignment horizontal="center" vertical="top" wrapText="1"/>
      <protection locked="0"/>
    </xf>
    <xf numFmtId="0" fontId="70" fillId="14" borderId="96" xfId="0" applyFont="1" applyFill="1" applyBorder="1" applyAlignment="1" applyProtection="1">
      <alignment horizontal="center" vertical="top" wrapText="1"/>
      <protection locked="0"/>
    </xf>
    <xf numFmtId="4" fontId="71" fillId="2" borderId="95" xfId="0" applyNumberFormat="1" applyFont="1" applyFill="1" applyBorder="1" applyAlignment="1" applyProtection="1">
      <alignment vertical="center" wrapText="1"/>
      <protection locked="0"/>
    </xf>
    <xf numFmtId="4" fontId="71" fillId="14" borderId="66" xfId="0" applyNumberFormat="1" applyFont="1" applyFill="1" applyBorder="1" applyAlignment="1" applyProtection="1">
      <alignment vertical="center" wrapText="1"/>
      <protection locked="0"/>
    </xf>
    <xf numFmtId="0" fontId="72" fillId="14" borderId="98" xfId="0" applyFont="1" applyFill="1" applyBorder="1" applyAlignment="1" applyProtection="1">
      <alignment vertical="center"/>
      <protection locked="0"/>
    </xf>
    <xf numFmtId="4" fontId="71" fillId="2" borderId="57" xfId="0" applyNumberFormat="1" applyFont="1" applyFill="1" applyBorder="1" applyAlignment="1" applyProtection="1">
      <alignment vertical="center" wrapText="1"/>
      <protection locked="0"/>
    </xf>
    <xf numFmtId="4" fontId="71" fillId="14" borderId="70" xfId="0" applyNumberFormat="1" applyFont="1" applyFill="1" applyBorder="1" applyAlignment="1" applyProtection="1">
      <alignment vertical="center" wrapText="1"/>
      <protection locked="0"/>
    </xf>
    <xf numFmtId="4" fontId="71" fillId="14" borderId="99" xfId="0" applyNumberFormat="1" applyFont="1" applyFill="1" applyBorder="1" applyAlignment="1" applyProtection="1">
      <alignment vertical="top"/>
      <protection locked="0"/>
    </xf>
    <xf numFmtId="0" fontId="62" fillId="14" borderId="100" xfId="0" applyFont="1" applyFill="1" applyBorder="1" applyAlignment="1" applyProtection="1">
      <alignment horizontal="center" vertical="center"/>
      <protection locked="0"/>
    </xf>
    <xf numFmtId="0" fontId="62" fillId="14" borderId="66" xfId="0" applyFont="1" applyFill="1" applyBorder="1" applyAlignment="1" applyProtection="1">
      <alignment horizontal="center" vertical="center"/>
      <protection locked="0"/>
    </xf>
    <xf numFmtId="0" fontId="65" fillId="14" borderId="98" xfId="0" applyFont="1" applyFill="1" applyBorder="1" applyAlignment="1" applyProtection="1">
      <alignment horizontal="center" vertical="center" wrapText="1"/>
      <protection locked="0"/>
    </xf>
    <xf numFmtId="2" fontId="63" fillId="14" borderId="17" xfId="0" applyNumberFormat="1" applyFont="1" applyFill="1" applyBorder="1" applyAlignment="1" applyProtection="1">
      <alignment horizontal="center" vertical="center" wrapText="1"/>
      <protection locked="0"/>
    </xf>
    <xf numFmtId="2" fontId="63" fillId="14" borderId="0" xfId="0" applyNumberFormat="1" applyFont="1" applyFill="1" applyBorder="1" applyAlignment="1" applyProtection="1">
      <alignment horizontal="center" vertical="center" wrapText="1"/>
      <protection locked="0"/>
    </xf>
    <xf numFmtId="2" fontId="63" fillId="14" borderId="18" xfId="0" applyNumberFormat="1" applyFont="1" applyFill="1" applyBorder="1" applyAlignment="1" applyProtection="1">
      <alignment horizontal="center" vertical="center" wrapText="1"/>
      <protection locked="0"/>
    </xf>
    <xf numFmtId="2" fontId="18" fillId="14" borderId="17" xfId="0" applyNumberFormat="1" applyFont="1" applyFill="1" applyBorder="1" applyAlignment="1" applyProtection="1">
      <alignment horizontal="center" vertical="center" wrapText="1"/>
      <protection locked="0"/>
    </xf>
    <xf numFmtId="2" fontId="18" fillId="14" borderId="0" xfId="0" applyNumberFormat="1" applyFont="1" applyFill="1" applyBorder="1" applyAlignment="1" applyProtection="1">
      <alignment horizontal="center" vertical="center" wrapText="1"/>
      <protection locked="0"/>
    </xf>
    <xf numFmtId="2" fontId="18" fillId="14" borderId="18" xfId="0" applyNumberFormat="1" applyFont="1" applyFill="1" applyBorder="1" applyAlignment="1" applyProtection="1">
      <alignment horizontal="center" vertical="center" wrapText="1"/>
      <protection locked="0"/>
    </xf>
    <xf numFmtId="2" fontId="62" fillId="14" borderId="19" xfId="0" applyNumberFormat="1" applyFont="1" applyFill="1" applyBorder="1" applyAlignment="1" applyProtection="1">
      <alignment horizontal="center" vertical="center"/>
      <protection locked="0"/>
    </xf>
    <xf numFmtId="2" fontId="62" fillId="14" borderId="20" xfId="0" applyNumberFormat="1" applyFont="1" applyFill="1" applyBorder="1" applyAlignment="1" applyProtection="1">
      <alignment horizontal="center" vertical="center"/>
      <protection locked="0"/>
    </xf>
    <xf numFmtId="2" fontId="62" fillId="14" borderId="21" xfId="0" applyNumberFormat="1" applyFont="1" applyFill="1" applyBorder="1" applyAlignment="1" applyProtection="1">
      <alignment horizontal="center" vertical="center"/>
      <protection locked="0"/>
    </xf>
    <xf numFmtId="0" fontId="24" fillId="0" borderId="51" xfId="7" applyFont="1" applyBorder="1" applyAlignment="1" applyProtection="1">
      <alignment horizontal="center" vertical="center" wrapText="1"/>
      <protection locked="0"/>
    </xf>
    <xf numFmtId="0" fontId="24" fillId="0" borderId="7" xfId="7" applyFont="1" applyBorder="1" applyAlignment="1" applyProtection="1">
      <alignment horizontal="center" vertical="center" wrapText="1"/>
      <protection locked="0"/>
    </xf>
    <xf numFmtId="0" fontId="24" fillId="0" borderId="52" xfId="7" applyFont="1" applyBorder="1" applyAlignment="1" applyProtection="1">
      <alignment horizontal="center" vertical="center" wrapText="1"/>
      <protection locked="0"/>
    </xf>
    <xf numFmtId="0" fontId="24" fillId="0" borderId="17" xfId="7" applyFont="1" applyBorder="1" applyAlignment="1" applyProtection="1">
      <alignment horizontal="center" vertical="center" wrapText="1"/>
      <protection locked="0"/>
    </xf>
    <xf numFmtId="0" fontId="24" fillId="0" borderId="0" xfId="7" applyFont="1" applyBorder="1" applyAlignment="1" applyProtection="1">
      <alignment horizontal="center" vertical="center" wrapText="1"/>
      <protection locked="0"/>
    </xf>
    <xf numFmtId="0" fontId="24" fillId="0" borderId="18" xfId="7" applyFont="1" applyBorder="1" applyAlignment="1" applyProtection="1">
      <alignment horizontal="center" vertical="center" wrapText="1"/>
      <protection locked="0"/>
    </xf>
    <xf numFmtId="0" fontId="24" fillId="0" borderId="113" xfId="7" applyFont="1" applyBorder="1" applyAlignment="1" applyProtection="1">
      <alignment horizontal="center" vertical="center" wrapText="1"/>
      <protection locked="0"/>
    </xf>
    <xf numFmtId="0" fontId="24" fillId="0" borderId="30" xfId="7" applyFont="1" applyBorder="1" applyAlignment="1" applyProtection="1">
      <alignment horizontal="center" vertical="center" wrapText="1"/>
      <protection locked="0"/>
    </xf>
    <xf numFmtId="0" fontId="24" fillId="0" borderId="114" xfId="7" applyFont="1" applyBorder="1" applyAlignment="1" applyProtection="1">
      <alignment horizontal="center" vertical="center" wrapText="1"/>
      <protection locked="0"/>
    </xf>
    <xf numFmtId="0" fontId="24" fillId="0" borderId="115" xfId="7" applyFont="1" applyBorder="1" applyAlignment="1" applyProtection="1">
      <alignment horizontal="center" vertical="center" wrapText="1"/>
      <protection locked="0"/>
    </xf>
    <xf numFmtId="0" fontId="24" fillId="0" borderId="31" xfId="7" applyFont="1" applyBorder="1" applyAlignment="1" applyProtection="1">
      <alignment horizontal="center" vertical="center" wrapText="1"/>
      <protection locked="0"/>
    </xf>
    <xf numFmtId="0" fontId="24" fillId="0" borderId="116" xfId="7" applyFont="1" applyBorder="1" applyAlignment="1" applyProtection="1">
      <alignment horizontal="center" vertical="center" wrapText="1"/>
      <protection locked="0"/>
    </xf>
    <xf numFmtId="0" fontId="25" fillId="0" borderId="117" xfId="7" applyFont="1" applyBorder="1" applyAlignment="1" applyProtection="1">
      <alignment horizontal="center" vertical="center" wrapText="1"/>
      <protection locked="0"/>
    </xf>
    <xf numFmtId="0" fontId="25" fillId="0" borderId="24" xfId="7" applyFont="1" applyBorder="1" applyAlignment="1" applyProtection="1">
      <alignment horizontal="left" vertical="center" wrapText="1"/>
      <protection locked="0"/>
    </xf>
    <xf numFmtId="0" fontId="25" fillId="0" borderId="24" xfId="7" applyFont="1" applyBorder="1" applyAlignment="1" applyProtection="1">
      <alignment horizontal="left" vertical="center"/>
      <protection locked="0"/>
    </xf>
    <xf numFmtId="0" fontId="25" fillId="0" borderId="119" xfId="7" applyFont="1" applyBorder="1" applyAlignment="1" applyProtection="1">
      <alignment horizontal="center" vertical="center" wrapText="1"/>
      <protection locked="0"/>
    </xf>
    <xf numFmtId="0" fontId="25" fillId="0" borderId="43" xfId="7" applyFont="1" applyBorder="1" applyAlignment="1" applyProtection="1">
      <alignment horizontal="left" vertical="center" wrapText="1"/>
      <protection locked="0"/>
    </xf>
    <xf numFmtId="0" fontId="24" fillId="0" borderId="121" xfId="7" applyFont="1" applyBorder="1" applyAlignment="1" applyProtection="1">
      <alignment horizontal="center" vertical="center" wrapText="1"/>
      <protection locked="0"/>
    </xf>
    <xf numFmtId="0" fontId="24" fillId="0" borderId="32" xfId="7" applyFont="1" applyBorder="1" applyAlignment="1" applyProtection="1">
      <alignment horizontal="left" vertical="center"/>
      <protection locked="0"/>
    </xf>
    <xf numFmtId="0" fontId="25" fillId="0" borderId="24" xfId="7" applyFont="1" applyBorder="1" applyAlignment="1" applyProtection="1">
      <alignment vertical="center" wrapText="1"/>
      <protection locked="0"/>
    </xf>
    <xf numFmtId="0" fontId="24" fillId="0" borderId="32" xfId="7" applyFont="1" applyBorder="1" applyAlignment="1" applyProtection="1">
      <alignment horizontal="left" vertical="center" wrapText="1"/>
      <protection locked="0"/>
    </xf>
    <xf numFmtId="0" fontId="24" fillId="0" borderId="123" xfId="7" applyFont="1" applyBorder="1" applyAlignment="1" applyProtection="1">
      <alignment horizontal="center" vertical="center" wrapText="1"/>
      <protection locked="0"/>
    </xf>
    <xf numFmtId="0" fontId="24" fillId="0" borderId="124" xfId="7" applyFont="1" applyBorder="1" applyAlignment="1" applyProtection="1">
      <alignment horizontal="center" vertical="center" wrapText="1"/>
      <protection locked="0"/>
    </xf>
    <xf numFmtId="2" fontId="25" fillId="0" borderId="24" xfId="4" quotePrefix="1" applyNumberFormat="1" applyFont="1" applyBorder="1" applyAlignment="1" applyProtection="1">
      <alignment horizontal="center" vertical="center" wrapText="1"/>
    </xf>
    <xf numFmtId="2" fontId="25" fillId="0" borderId="118" xfId="4" quotePrefix="1" applyNumberFormat="1" applyFont="1" applyBorder="1" applyAlignment="1" applyProtection="1">
      <alignment horizontal="center" vertical="center" wrapText="1"/>
    </xf>
    <xf numFmtId="2" fontId="25" fillId="0" borderId="24" xfId="4" applyNumberFormat="1" applyFont="1" applyBorder="1" applyAlignment="1" applyProtection="1">
      <alignment horizontal="center" vertical="center" wrapText="1"/>
    </xf>
    <xf numFmtId="2" fontId="25" fillId="0" borderId="118" xfId="4" applyNumberFormat="1" applyFont="1" applyBorder="1" applyAlignment="1" applyProtection="1">
      <alignment horizontal="center" vertical="center" wrapText="1"/>
    </xf>
    <xf numFmtId="2" fontId="25" fillId="0" borderId="44" xfId="4" applyNumberFormat="1" applyFont="1" applyBorder="1" applyAlignment="1" applyProtection="1">
      <alignment horizontal="center" vertical="center" wrapText="1"/>
    </xf>
    <xf numFmtId="2" fontId="25" fillId="0" borderId="120" xfId="4" applyNumberFormat="1" applyFont="1" applyBorder="1" applyAlignment="1" applyProtection="1">
      <alignment horizontal="center" vertical="center" wrapText="1"/>
    </xf>
    <xf numFmtId="2" fontId="24" fillId="0" borderId="33" xfId="7" applyNumberFormat="1" applyFont="1" applyBorder="1" applyAlignment="1" applyProtection="1">
      <alignment horizontal="center" vertical="center" wrapText="1"/>
    </xf>
    <xf numFmtId="2" fontId="24" fillId="0" borderId="122" xfId="7" applyNumberFormat="1" applyFont="1" applyBorder="1" applyAlignment="1" applyProtection="1">
      <alignment horizontal="center" vertical="center" wrapText="1"/>
    </xf>
    <xf numFmtId="0" fontId="25" fillId="0" borderId="24" xfId="7" applyFont="1" applyBorder="1" applyAlignment="1" applyProtection="1">
      <alignment horizontal="center" vertical="center" wrapText="1"/>
    </xf>
    <xf numFmtId="0" fontId="25" fillId="0" borderId="118" xfId="7" applyFont="1" applyBorder="1" applyAlignment="1" applyProtection="1">
      <alignment horizontal="center" vertical="center" wrapText="1"/>
    </xf>
    <xf numFmtId="2" fontId="25" fillId="0" borderId="118" xfId="7" applyNumberFormat="1" applyFont="1" applyBorder="1" applyAlignment="1" applyProtection="1">
      <alignment horizontal="center" vertical="center" wrapText="1"/>
    </xf>
    <xf numFmtId="2" fontId="25" fillId="0" borderId="24" xfId="7" applyNumberFormat="1" applyFont="1" applyBorder="1" applyAlignment="1" applyProtection="1">
      <alignment horizontal="center" vertical="center" wrapText="1"/>
    </xf>
    <xf numFmtId="0" fontId="24" fillId="0" borderId="32" xfId="7" applyFont="1" applyBorder="1" applyAlignment="1" applyProtection="1">
      <alignment horizontal="center" vertical="center" wrapText="1"/>
    </xf>
    <xf numFmtId="2" fontId="24" fillId="0" borderId="125" xfId="7" applyNumberFormat="1" applyFont="1" applyBorder="1" applyAlignment="1" applyProtection="1">
      <alignment horizontal="center" vertical="center" wrapText="1"/>
    </xf>
    <xf numFmtId="2" fontId="24" fillId="0" borderId="126" xfId="7" applyNumberFormat="1" applyFont="1" applyBorder="1" applyAlignment="1" applyProtection="1">
      <alignment horizontal="center" vertical="center" wrapText="1"/>
    </xf>
    <xf numFmtId="10" fontId="53" fillId="14" borderId="18" xfId="0" applyNumberFormat="1" applyFont="1" applyFill="1" applyBorder="1" applyAlignment="1" applyProtection="1">
      <alignment vertical="center"/>
      <protection locked="0"/>
    </xf>
    <xf numFmtId="39" fontId="53" fillId="14" borderId="99" xfId="8" applyNumberFormat="1" applyFont="1" applyFill="1" applyBorder="1" applyAlignment="1" applyProtection="1">
      <alignment vertical="center"/>
      <protection locked="0"/>
    </xf>
    <xf numFmtId="0" fontId="52" fillId="5" borderId="23" xfId="0" applyFont="1" applyFill="1" applyBorder="1" applyAlignment="1" applyProtection="1">
      <alignment horizontal="center" vertical="center" wrapText="1"/>
      <protection locked="0"/>
    </xf>
    <xf numFmtId="0" fontId="52" fillId="5" borderId="29" xfId="0" applyFont="1" applyFill="1" applyBorder="1" applyAlignment="1" applyProtection="1">
      <alignment horizontal="center" vertical="center" wrapText="1"/>
      <protection locked="0"/>
    </xf>
    <xf numFmtId="0" fontId="52" fillId="5" borderId="46" xfId="0" applyFont="1" applyFill="1" applyBorder="1" applyAlignment="1" applyProtection="1">
      <alignment horizontal="center" vertical="center" wrapText="1"/>
      <protection locked="0"/>
    </xf>
    <xf numFmtId="0" fontId="83" fillId="0" borderId="16" xfId="0" applyFont="1" applyBorder="1" applyAlignment="1" applyProtection="1">
      <alignment horizontal="center" vertical="center"/>
      <protection locked="0"/>
    </xf>
    <xf numFmtId="0" fontId="83" fillId="0" borderId="17" xfId="0" applyFont="1" applyBorder="1" applyAlignment="1" applyProtection="1">
      <alignment horizontal="center" vertical="center"/>
      <protection locked="0"/>
    </xf>
    <xf numFmtId="0" fontId="83" fillId="0" borderId="0" xfId="0" applyFont="1" applyBorder="1" applyAlignment="1" applyProtection="1">
      <alignment horizontal="center" vertical="center"/>
      <protection locked="0"/>
    </xf>
    <xf numFmtId="0" fontId="83" fillId="0" borderId="18" xfId="0" applyFont="1" applyBorder="1" applyAlignment="1" applyProtection="1">
      <alignment horizontal="center" vertical="center"/>
      <protection locked="0"/>
    </xf>
    <xf numFmtId="0" fontId="83" fillId="0" borderId="21" xfId="0" applyFont="1" applyBorder="1" applyAlignment="1" applyProtection="1">
      <alignment horizontal="center" vertical="center"/>
      <protection locked="0"/>
    </xf>
    <xf numFmtId="0" fontId="52" fillId="7" borderId="25" xfId="1" applyFont="1" applyFill="1" applyBorder="1" applyAlignment="1" applyProtection="1">
      <alignment horizontal="center" vertical="center" wrapText="1"/>
      <protection locked="0"/>
    </xf>
    <xf numFmtId="164" fontId="52" fillId="7" borderId="25" xfId="14" applyFont="1" applyFill="1" applyBorder="1" applyAlignment="1" applyProtection="1">
      <alignment horizontal="center" vertical="center" wrapText="1"/>
      <protection locked="0"/>
    </xf>
    <xf numFmtId="0" fontId="52" fillId="7" borderId="26" xfId="1" applyFont="1" applyFill="1" applyBorder="1" applyAlignment="1" applyProtection="1">
      <alignment horizontal="center" vertical="center" wrapText="1"/>
      <protection locked="0"/>
    </xf>
    <xf numFmtId="164" fontId="52" fillId="7" borderId="26" xfId="14" applyFont="1" applyFill="1" applyBorder="1" applyAlignment="1" applyProtection="1">
      <alignment horizontal="center" vertical="center" wrapText="1"/>
      <protection locked="0"/>
    </xf>
    <xf numFmtId="0" fontId="52" fillId="7" borderId="27" xfId="1" applyFont="1" applyFill="1" applyBorder="1" applyAlignment="1" applyProtection="1">
      <alignment horizontal="center" vertical="center" wrapText="1"/>
      <protection locked="0"/>
    </xf>
    <xf numFmtId="164" fontId="52" fillId="7" borderId="27" xfId="14" applyFont="1" applyFill="1" applyBorder="1" applyAlignment="1" applyProtection="1">
      <alignment horizontal="center" vertical="center" wrapText="1"/>
      <protection locked="0"/>
    </xf>
    <xf numFmtId="49" fontId="40" fillId="0" borderId="64" xfId="0" applyNumberFormat="1" applyFont="1" applyBorder="1" applyAlignment="1" applyProtection="1">
      <alignment horizontal="center" vertical="center"/>
      <protection locked="0"/>
    </xf>
    <xf numFmtId="165" fontId="40" fillId="0" borderId="5" xfId="0" applyNumberFormat="1" applyFont="1" applyBorder="1" applyAlignment="1" applyProtection="1">
      <alignment vertical="center" wrapText="1"/>
      <protection locked="0"/>
    </xf>
    <xf numFmtId="165" fontId="40" fillId="0" borderId="5" xfId="0" applyNumberFormat="1" applyFont="1" applyBorder="1" applyAlignment="1" applyProtection="1">
      <alignment horizontal="center" vertical="center"/>
      <protection locked="0"/>
    </xf>
    <xf numFmtId="165" fontId="54" fillId="0" borderId="6" xfId="0" applyNumberFormat="1" applyFont="1" applyBorder="1" applyAlignment="1" applyProtection="1">
      <alignment horizontal="center" vertical="center"/>
      <protection locked="0"/>
    </xf>
    <xf numFmtId="10" fontId="54" fillId="0" borderId="5" xfId="0" applyNumberFormat="1" applyFont="1" applyBorder="1" applyAlignment="1" applyProtection="1">
      <alignment horizontal="center" vertical="center"/>
      <protection locked="0"/>
    </xf>
    <xf numFmtId="10" fontId="54" fillId="0" borderId="6" xfId="0" applyNumberFormat="1" applyFont="1" applyBorder="1" applyAlignment="1" applyProtection="1">
      <alignment horizontal="center" vertical="center"/>
      <protection locked="0"/>
    </xf>
    <xf numFmtId="0" fontId="86" fillId="0" borderId="25" xfId="0" applyFont="1" applyBorder="1" applyAlignment="1" applyProtection="1">
      <alignment horizontal="center" vertical="center"/>
      <protection locked="0"/>
    </xf>
    <xf numFmtId="49" fontId="40" fillId="0" borderId="38" xfId="0" applyNumberFormat="1" applyFont="1" applyBorder="1" applyAlignment="1" applyProtection="1">
      <alignment horizontal="center" vertical="center"/>
      <protection locked="0"/>
    </xf>
    <xf numFmtId="165" fontId="40" fillId="0" borderId="1" xfId="0" applyNumberFormat="1" applyFont="1" applyBorder="1" applyAlignment="1" applyProtection="1">
      <alignment vertical="center" wrapText="1"/>
      <protection locked="0"/>
    </xf>
    <xf numFmtId="0" fontId="54" fillId="0" borderId="1" xfId="0" applyFont="1" applyBorder="1" applyAlignment="1" applyProtection="1">
      <alignment horizontal="center"/>
      <protection locked="0"/>
    </xf>
    <xf numFmtId="165" fontId="40" fillId="0" borderId="1" xfId="0" applyNumberFormat="1" applyFont="1" applyBorder="1" applyAlignment="1" applyProtection="1">
      <alignment horizontal="center" vertical="center"/>
      <protection locked="0"/>
    </xf>
    <xf numFmtId="165" fontId="54" fillId="0" borderId="2" xfId="0" applyNumberFormat="1" applyFont="1" applyBorder="1" applyAlignment="1" applyProtection="1">
      <alignment horizontal="center" vertical="center"/>
      <protection locked="0"/>
    </xf>
    <xf numFmtId="10" fontId="54" fillId="0" borderId="1" xfId="0" applyNumberFormat="1" applyFont="1" applyBorder="1" applyAlignment="1" applyProtection="1">
      <alignment horizontal="center" vertical="center"/>
      <protection locked="0"/>
    </xf>
    <xf numFmtId="10" fontId="54" fillId="0" borderId="2" xfId="0" applyNumberFormat="1" applyFont="1" applyBorder="1" applyAlignment="1" applyProtection="1">
      <alignment horizontal="center" vertical="center"/>
      <protection locked="0"/>
    </xf>
    <xf numFmtId="0" fontId="86" fillId="0" borderId="26" xfId="0" applyFont="1" applyBorder="1" applyAlignment="1" applyProtection="1">
      <alignment horizontal="center" vertical="center"/>
      <protection locked="0"/>
    </xf>
    <xf numFmtId="0" fontId="54" fillId="0" borderId="38" xfId="0" applyFont="1" applyBorder="1" applyAlignment="1" applyProtection="1">
      <alignment horizontal="center" vertical="center"/>
      <protection locked="0"/>
    </xf>
    <xf numFmtId="165" fontId="40" fillId="0" borderId="1" xfId="0" applyNumberFormat="1" applyFont="1" applyBorder="1" applyAlignment="1" applyProtection="1">
      <alignment vertical="center"/>
      <protection locked="0"/>
    </xf>
    <xf numFmtId="49" fontId="40" fillId="0" borderId="47" xfId="0" applyNumberFormat="1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vertical="center"/>
      <protection locked="0"/>
    </xf>
    <xf numFmtId="0" fontId="40" fillId="0" borderId="9" xfId="0" applyFont="1" applyBorder="1" applyAlignment="1" applyProtection="1">
      <alignment horizontal="center" vertical="center"/>
      <protection locked="0"/>
    </xf>
    <xf numFmtId="4" fontId="40" fillId="0" borderId="1" xfId="0" applyNumberFormat="1" applyFont="1" applyBorder="1" applyAlignment="1" applyProtection="1">
      <alignment horizontal="center" vertical="center"/>
      <protection locked="0"/>
    </xf>
    <xf numFmtId="0" fontId="54" fillId="0" borderId="47" xfId="0" applyFont="1" applyBorder="1" applyAlignment="1" applyProtection="1">
      <alignment horizontal="center" vertical="center"/>
      <protection locked="0"/>
    </xf>
    <xf numFmtId="0" fontId="54" fillId="0" borderId="9" xfId="0" applyFont="1" applyBorder="1" applyAlignment="1" applyProtection="1">
      <alignment horizontal="center"/>
      <protection locked="0"/>
    </xf>
    <xf numFmtId="165" fontId="54" fillId="0" borderId="2" xfId="0" applyNumberFormat="1" applyFont="1" applyFill="1" applyBorder="1" applyAlignment="1" applyProtection="1">
      <alignment horizontal="center" vertical="center"/>
      <protection locked="0"/>
    </xf>
    <xf numFmtId="0" fontId="86" fillId="0" borderId="27" xfId="0" applyFont="1" applyBorder="1" applyAlignment="1" applyProtection="1">
      <alignment horizontal="center" vertical="center"/>
      <protection locked="0"/>
    </xf>
    <xf numFmtId="0" fontId="54" fillId="0" borderId="1" xfId="0" applyFont="1" applyBorder="1" applyAlignment="1" applyProtection="1">
      <alignment horizontal="center" vertical="center"/>
      <protection locked="0"/>
    </xf>
    <xf numFmtId="0" fontId="54" fillId="0" borderId="1" xfId="0" applyFont="1" applyBorder="1" applyAlignment="1" applyProtection="1">
      <alignment vertical="center"/>
      <protection locked="0"/>
    </xf>
    <xf numFmtId="165" fontId="54" fillId="0" borderId="10" xfId="0" applyNumberFormat="1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vertical="center"/>
      <protection locked="0"/>
    </xf>
    <xf numFmtId="165" fontId="40" fillId="0" borderId="2" xfId="0" applyNumberFormat="1" applyFont="1" applyBorder="1" applyAlignment="1" applyProtection="1">
      <alignment horizontal="center" vertical="center"/>
      <protection locked="0"/>
    </xf>
    <xf numFmtId="0" fontId="86" fillId="0" borderId="26" xfId="0" applyFont="1" applyBorder="1" applyAlignment="1" applyProtection="1">
      <alignment horizontal="center" vertical="center"/>
      <protection locked="0"/>
    </xf>
    <xf numFmtId="173" fontId="54" fillId="0" borderId="14" xfId="0" applyNumberFormat="1" applyFont="1" applyBorder="1" applyAlignment="1" applyProtection="1">
      <alignment horizontal="center" vertical="center"/>
      <protection locked="0"/>
    </xf>
    <xf numFmtId="173" fontId="54" fillId="0" borderId="15" xfId="0" applyNumberFormat="1" applyFont="1" applyBorder="1" applyAlignment="1" applyProtection="1">
      <alignment horizontal="center" vertical="center"/>
      <protection locked="0"/>
    </xf>
    <xf numFmtId="173" fontId="54" fillId="0" borderId="16" xfId="0" applyNumberFormat="1" applyFont="1" applyBorder="1" applyAlignment="1" applyProtection="1">
      <alignment horizontal="center" vertical="center"/>
      <protection locked="0"/>
    </xf>
    <xf numFmtId="165" fontId="85" fillId="0" borderId="14" xfId="0" applyNumberFormat="1" applyFont="1" applyBorder="1" applyAlignment="1" applyProtection="1">
      <alignment horizontal="center" vertical="center"/>
      <protection locked="0"/>
    </xf>
    <xf numFmtId="44" fontId="85" fillId="0" borderId="16" xfId="0" applyNumberFormat="1" applyFont="1" applyBorder="1" applyAlignment="1" applyProtection="1">
      <alignment horizontal="center" vertical="center"/>
      <protection locked="0"/>
    </xf>
    <xf numFmtId="173" fontId="54" fillId="0" borderId="19" xfId="0" applyNumberFormat="1" applyFont="1" applyBorder="1" applyAlignment="1" applyProtection="1">
      <alignment horizontal="center" vertical="center"/>
      <protection locked="0"/>
    </xf>
    <xf numFmtId="173" fontId="54" fillId="0" borderId="20" xfId="0" applyNumberFormat="1" applyFont="1" applyBorder="1" applyAlignment="1" applyProtection="1">
      <alignment horizontal="center" vertical="center"/>
      <protection locked="0"/>
    </xf>
    <xf numFmtId="173" fontId="54" fillId="0" borderId="21" xfId="0" applyNumberFormat="1" applyFont="1" applyBorder="1" applyAlignment="1" applyProtection="1">
      <alignment horizontal="center" vertical="center"/>
      <protection locked="0"/>
    </xf>
    <xf numFmtId="44" fontId="85" fillId="0" borderId="19" xfId="0" applyNumberFormat="1" applyFont="1" applyBorder="1" applyAlignment="1" applyProtection="1">
      <alignment horizontal="center" vertical="center"/>
      <protection locked="0"/>
    </xf>
    <xf numFmtId="44" fontId="85" fillId="0" borderId="21" xfId="0" applyNumberFormat="1" applyFont="1" applyBorder="1" applyAlignment="1" applyProtection="1">
      <alignment horizontal="center" vertical="center"/>
      <protection locked="0"/>
    </xf>
    <xf numFmtId="4" fontId="53" fillId="0" borderId="5" xfId="0" applyNumberFormat="1" applyFont="1" applyBorder="1" applyAlignment="1" applyProtection="1">
      <alignment horizontal="center" vertical="center"/>
    </xf>
    <xf numFmtId="4" fontId="53" fillId="0" borderId="1" xfId="0" applyNumberFormat="1" applyFont="1" applyBorder="1" applyAlignment="1" applyProtection="1">
      <alignment horizontal="center" vertical="center"/>
    </xf>
    <xf numFmtId="4" fontId="40" fillId="0" borderId="1" xfId="0" applyNumberFormat="1" applyFont="1" applyBorder="1" applyAlignment="1" applyProtection="1">
      <alignment horizontal="center" vertical="center"/>
    </xf>
  </cellXfs>
  <cellStyles count="22">
    <cellStyle name="Comma" xfId="4" builtinId="3"/>
    <cellStyle name="Hipervínculo 15" xfId="16" xr:uid="{E6AEAB98-1310-4A26-B9F1-52DA8F6AC312}"/>
    <cellStyle name="Moeda 2" xfId="13" xr:uid="{00000000-0005-0000-0000-000001000000}"/>
    <cellStyle name="Normal" xfId="0" builtinId="0"/>
    <cellStyle name="Normal 10" xfId="20" xr:uid="{E3DC982E-9B6C-4B9F-9E5C-E96C660CF5B4}"/>
    <cellStyle name="Normal 2" xfId="7" xr:uid="{00000000-0005-0000-0000-000004000000}"/>
    <cellStyle name="Normal 2 2" xfId="9" xr:uid="{00000000-0005-0000-0000-000005000000}"/>
    <cellStyle name="Normal 2 4 2" xfId="11" xr:uid="{00000000-0005-0000-0000-000006000000}"/>
    <cellStyle name="Normal 3" xfId="6" xr:uid="{00000000-0005-0000-0000-000007000000}"/>
    <cellStyle name="Normal 5" xfId="15" xr:uid="{F2A436C1-862D-4D5A-8C30-AA84BC2307FA}"/>
    <cellStyle name="Normal 6" xfId="18" xr:uid="{137DA80D-48F2-44F8-8989-5A6F20C19E8D}"/>
    <cellStyle name="Normal 7" xfId="17" xr:uid="{6A51AF64-667C-4F53-B2FB-BD3B33B44B21}"/>
    <cellStyle name="Normal 8" xfId="19" xr:uid="{57617EE6-C6EA-45BB-A9A9-9FEEDF3EE2F7}"/>
    <cellStyle name="Normal 9" xfId="1" xr:uid="{00000000-0005-0000-0000-000008000000}"/>
    <cellStyle name="Normal_Pesquisa no referencial 10 de maio de 2013" xfId="3" xr:uid="{00000000-0005-0000-0000-000009000000}"/>
    <cellStyle name="Percent" xfId="5" builtinId="5"/>
    <cellStyle name="Porcentagem 2" xfId="12" xr:uid="{00000000-0005-0000-0000-00000A000000}"/>
    <cellStyle name="Separador de milhares 13" xfId="2" xr:uid="{00000000-0005-0000-0000-00000C000000}"/>
    <cellStyle name="Separador de milhares 13 2" xfId="14" xr:uid="{00000000-0005-0000-0000-00000D000000}"/>
    <cellStyle name="Separador de milhares 2" xfId="10" xr:uid="{00000000-0005-0000-0000-00000E000000}"/>
    <cellStyle name="Vírgula 2" xfId="8" xr:uid="{00000000-0005-0000-0000-00000F000000}"/>
    <cellStyle name="Vírgula 3 2" xfId="21" xr:uid="{EE0BD086-0A18-421C-A326-C41D9A32B59E}"/>
  </cellStyles>
  <dxfs count="314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condense val="0"/>
        <extend val="0"/>
      </font>
      <fill>
        <patternFill>
          <bgColor rgb="FFC0C0C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NUL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NUL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3</xdr:row>
      <xdr:rowOff>114301</xdr:rowOff>
    </xdr:from>
    <xdr:to>
      <xdr:col>2</xdr:col>
      <xdr:colOff>1409700</xdr:colOff>
      <xdr:row>6</xdr:row>
      <xdr:rowOff>136525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D46E9E-0420-4578-A22F-B523E0E3BD48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695326"/>
          <a:ext cx="1790700" cy="9524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2</xdr:row>
      <xdr:rowOff>34636</xdr:rowOff>
    </xdr:from>
    <xdr:to>
      <xdr:col>3</xdr:col>
      <xdr:colOff>3975554</xdr:colOff>
      <xdr:row>14</xdr:row>
      <xdr:rowOff>122959</xdr:rowOff>
    </xdr:to>
    <xdr:pic>
      <xdr:nvPicPr>
        <xdr:cNvPr id="3" name="Imagem 3" descr="LOGO OFICIAL PREFEITURA.jpg">
          <a:extLst>
            <a:ext uri="{FF2B5EF4-FFF2-40B4-BE49-F238E27FC236}">
              <a16:creationId xmlns:a16="http://schemas.microsoft.com/office/drawing/2014/main" id="{F507A4E7-8C39-480A-BFA8-9F43B4D30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643" y="429243"/>
          <a:ext cx="4762500" cy="2387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980209</xdr:colOff>
      <xdr:row>6</xdr:row>
      <xdr:rowOff>34636</xdr:rowOff>
    </xdr:from>
    <xdr:to>
      <xdr:col>2</xdr:col>
      <xdr:colOff>5594294</xdr:colOff>
      <xdr:row>17</xdr:row>
      <xdr:rowOff>143914</xdr:rowOff>
    </xdr:to>
    <xdr:pic>
      <xdr:nvPicPr>
        <xdr:cNvPr id="5" name="Imagem 3" descr="LOGO OFICIAL PREFEITURA.jpg">
          <a:extLst>
            <a:ext uri="{FF2B5EF4-FFF2-40B4-BE49-F238E27FC236}">
              <a16:creationId xmlns:a16="http://schemas.microsoft.com/office/drawing/2014/main" id="{FFBF2D93-B975-48CA-86AC-5F67F530F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3664" y="824345"/>
          <a:ext cx="5604165" cy="2353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203337</xdr:colOff>
      <xdr:row>2</xdr:row>
      <xdr:rowOff>65847</xdr:rowOff>
    </xdr:from>
    <xdr:to>
      <xdr:col>4</xdr:col>
      <xdr:colOff>1613646</xdr:colOff>
      <xdr:row>7</xdr:row>
      <xdr:rowOff>161097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5E2C6F-502B-4AB5-9444-47C30D0A67D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72" y="458053"/>
          <a:ext cx="2788633" cy="1047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114300</xdr:rowOff>
    </xdr:from>
    <xdr:to>
      <xdr:col>3</xdr:col>
      <xdr:colOff>1904999</xdr:colOff>
      <xdr:row>9</xdr:row>
      <xdr:rowOff>114300</xdr:rowOff>
    </xdr:to>
    <xdr:pic>
      <xdr:nvPicPr>
        <xdr:cNvPr id="2" name="Imagem 3" descr="LOGO OFICIAL PREFEITURA.jpg">
          <a:extLst>
            <a:ext uri="{FF2B5EF4-FFF2-40B4-BE49-F238E27FC236}">
              <a16:creationId xmlns:a16="http://schemas.microsoft.com/office/drawing/2014/main" id="{1DBD127F-49DA-4E9D-9945-19D7DDDD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304800"/>
          <a:ext cx="2419349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415636</xdr:colOff>
      <xdr:row>5</xdr:row>
      <xdr:rowOff>0</xdr:rowOff>
    </xdr:from>
    <xdr:to>
      <xdr:col>6</xdr:col>
      <xdr:colOff>363682</xdr:colOff>
      <xdr:row>13</xdr:row>
      <xdr:rowOff>0</xdr:rowOff>
    </xdr:to>
    <xdr:pic>
      <xdr:nvPicPr>
        <xdr:cNvPr id="6" name="Imagem 3" descr="LOGO OFICIAL PREFEITURA.jpg">
          <a:extLst>
            <a:ext uri="{FF2B5EF4-FFF2-40B4-BE49-F238E27FC236}">
              <a16:creationId xmlns:a16="http://schemas.microsoft.com/office/drawing/2014/main" id="{45F5F321-72E5-4E1D-904F-515BCA0F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227" y="952500"/>
          <a:ext cx="4139046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658091</xdr:colOff>
      <xdr:row>5</xdr:row>
      <xdr:rowOff>34636</xdr:rowOff>
    </xdr:from>
    <xdr:to>
      <xdr:col>5</xdr:col>
      <xdr:colOff>813955</xdr:colOff>
      <xdr:row>17</xdr:row>
      <xdr:rowOff>122959</xdr:rowOff>
    </xdr:to>
    <xdr:pic>
      <xdr:nvPicPr>
        <xdr:cNvPr id="4" name="Imagem 3" descr="LOGO OFICIAL PREFEITURA.jpg">
          <a:extLst>
            <a:ext uri="{FF2B5EF4-FFF2-40B4-BE49-F238E27FC236}">
              <a16:creationId xmlns:a16="http://schemas.microsoft.com/office/drawing/2014/main" id="{23E55F68-40A0-4D3C-8D48-1CD1B981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0364" y="1004454"/>
          <a:ext cx="5143500" cy="246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0</xdr:row>
      <xdr:rowOff>127000</xdr:rowOff>
    </xdr:from>
    <xdr:to>
      <xdr:col>10</xdr:col>
      <xdr:colOff>112365</xdr:colOff>
      <xdr:row>0</xdr:row>
      <xdr:rowOff>130374</xdr:rowOff>
    </xdr:to>
    <xdr:pic>
      <xdr:nvPicPr>
        <xdr:cNvPr id="3" name="Imagem 1" descr="LOGO OFICIAL PREFEITURA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5" y="127000"/>
          <a:ext cx="1091199" cy="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235324</xdr:colOff>
      <xdr:row>0</xdr:row>
      <xdr:rowOff>155863</xdr:rowOff>
    </xdr:from>
    <xdr:to>
      <xdr:col>11</xdr:col>
      <xdr:colOff>549088</xdr:colOff>
      <xdr:row>5</xdr:row>
      <xdr:rowOff>67234</xdr:rowOff>
    </xdr:to>
    <xdr:pic>
      <xdr:nvPicPr>
        <xdr:cNvPr id="4" name="Imagem 5" descr="Descrição: LOGO OFICIAL PREFEITURA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6524" y="155863"/>
          <a:ext cx="1837764" cy="911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361084</xdr:colOff>
      <xdr:row>25</xdr:row>
      <xdr:rowOff>0</xdr:rowOff>
    </xdr:from>
    <xdr:to>
      <xdr:col>1</xdr:col>
      <xdr:colOff>618259</xdr:colOff>
      <xdr:row>25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5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84" y="304801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493568</xdr:colOff>
      <xdr:row>46</xdr:row>
      <xdr:rowOff>65130</xdr:rowOff>
    </xdr:from>
    <xdr:ext cx="3359182" cy="459564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493568" y="5380080"/>
          <a:ext cx="3359182" cy="459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100" b="1" i="0">
              <a:latin typeface="Cambria Math"/>
            </a:rPr>
            <a:t>𝑩𝑫𝑰=((𝟏+𝑨𝑪+𝑺+𝑹+𝑮)(𝟏+𝑫𝑭)(𝟏+𝑳))/((𝟏−𝑰))  −𝟏</a:t>
          </a:r>
          <a:endParaRPr lang="pt-BR" sz="1100" b="1"/>
        </a:p>
      </xdr:txBody>
    </xdr:sp>
    <xdr:clientData/>
  </xdr:oneCellAnchor>
  <xdr:twoCellAnchor editAs="oneCell">
    <xdr:from>
      <xdr:col>1</xdr:col>
      <xdr:colOff>78441</xdr:colOff>
      <xdr:row>4</xdr:row>
      <xdr:rowOff>85725</xdr:rowOff>
    </xdr:from>
    <xdr:to>
      <xdr:col>1</xdr:col>
      <xdr:colOff>1098176</xdr:colOff>
      <xdr:row>16</xdr:row>
      <xdr:rowOff>76200</xdr:rowOff>
    </xdr:to>
    <xdr:pic>
      <xdr:nvPicPr>
        <xdr:cNvPr id="10" name="Imagem 3" descr="LOGO OFICIAL PREFEITURA.jpg">
          <a:extLst>
            <a:ext uri="{FF2B5EF4-FFF2-40B4-BE49-F238E27FC236}">
              <a16:creationId xmlns:a16="http://schemas.microsoft.com/office/drawing/2014/main" id="{E2570280-3055-4968-A407-CC1AD52F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1" y="858931"/>
          <a:ext cx="1019735" cy="1648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53341</xdr:colOff>
      <xdr:row>5</xdr:row>
      <xdr:rowOff>85726</xdr:rowOff>
    </xdr:from>
    <xdr:to>
      <xdr:col>1</xdr:col>
      <xdr:colOff>1314451</xdr:colOff>
      <xdr:row>12</xdr:row>
      <xdr:rowOff>57151</xdr:rowOff>
    </xdr:to>
    <xdr:pic>
      <xdr:nvPicPr>
        <xdr:cNvPr id="4" name="Imagem 3" descr="LOGO OFICIAL PREFEITURA.jpg">
          <a:extLst>
            <a:ext uri="{FF2B5EF4-FFF2-40B4-BE49-F238E27FC236}">
              <a16:creationId xmlns:a16="http://schemas.microsoft.com/office/drawing/2014/main" id="{B4CCAA49-3EC5-4708-AC01-50E7BD0F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1" y="1047751"/>
          <a:ext cx="126111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vos%20Processos%20de%20vicinais\ACESSO%20AO%20LIBERATO\Planilha,%20Cronograma,%20BDI,%20Encargos,%20Composi&#231;&#227;o%20e%20Curva%20ABC_EST.ACESSO%20LIBERAT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UA%20ULTIMA%20DO%20ELIZEU%20RAMOS\PLANILHA%20LAGOA%20NOV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wnloads/REV%204.OR&#199;A_SemDeson_S.DOMINGOSs%20ok%20GILSON%20(1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jhonson\Desktop\PASTA%20OLHO%20D'AGUA\PLANILHA%20OLHO%20D'AGU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vos%20Processos%20de%20vicinais\B.RAPOSO%20X%20MORRO%20DOANGICAL\Planilha,%20Cronograma,%20BDI,%20Encargos,%20Composi&#231;&#227;o%20e%20Curva%20ABC_B.RAPOSO%20X%20MORRO%20DO%20ANGI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vos%20Processos%20de%20vicinais\BAIX&#195;O%20DO%20LERIANO\Planilha,%20Cronograma,%20BDI,%20Encargos,%20Composi&#231;&#227;o%20e%20Curva%20ABC_BAIX&#195;O%20DO%20LERIAN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vos%20Processos%20de%20vicinais\JUNCO%20X%20LIVRAMENTO\Planilha,%20Cronograma,%20BDI,%20Encargos,%20Composi&#231;&#227;o%20e%20Curva%20ABC_JUNCO%20X%20LIVRAMENT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vos%20Processos%20de%20vicinais\LAGO%20VERDE\Planilha,%20Cronograma,%20BDI,%20Encargos,%20Composi&#231;&#227;o%20e%20Curva%20ABC_Pov%20C%20Rodrigues%20x%20C%20Adelin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vos%20Processos%20de%20vicinais\Morcego\Planilha,%20Cronograma,%20BDI,%20Encargos,%20Composi&#231;&#227;o%20e%20Curva%20ABC_EST.ACESSO%20MORCEG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NDINIZ/Downloads/PLANILHA%20CALCULO%20DM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MEMORIAL%20DE%20CALCULO-%20MODIFICADA%20-%200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PROCESSO%20CAIXA%20-MODIFICADO%2001/PLANILHA%20MEMORIAL%20DE%20CALCULO-%20MODIFIC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GE 2010"/>
      <sheetName val="IBGE 2000"/>
      <sheetName val="Área"/>
      <sheetName val="Microrregiões"/>
      <sheetName val="PLANILHA ORÇAMENTÁRIA"/>
      <sheetName val="ORÇAM.SINTETICO"/>
      <sheetName val="CRONOGRAMA"/>
      <sheetName val="MEMORIA DE CALCULO"/>
      <sheetName val="BDI"/>
      <sheetName val="ENCARGOS"/>
      <sheetName val="Comp.Cust."/>
      <sheetName val="Preço de Bombas Sub"/>
      <sheetName val="CURVA ABC"/>
      <sheetName val="Planilh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E5" t="str">
            <v>ESTRADA DE ACESSO AO LIBERATO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ÇAMENTÁRIA"/>
      <sheetName val="CRON. FIS. FINAN."/>
      <sheetName val="ORÇAMENTO SINTÉTICO"/>
      <sheetName val="Planilha4"/>
      <sheetName val="COMP. CUSTOS"/>
      <sheetName val="MEMOR. CALCULO"/>
      <sheetName val="BDI"/>
      <sheetName val="ENCARGOS"/>
      <sheetName val="CURVA ABC"/>
      <sheetName val="Planilha1"/>
      <sheetName val="Planilha2"/>
      <sheetName val="Planilha3"/>
      <sheetName val="Planilh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0">
          <cell r="J50">
            <v>1015761.226476</v>
          </cell>
        </row>
      </sheetData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ória de Cálculo (2)"/>
      <sheetName val="capaPrinc"/>
      <sheetName val="CapaOrça"/>
      <sheetName val="Planilha Resumo"/>
      <sheetName val="CPU"/>
      <sheetName val="Orça -Meta 1"/>
      <sheetName val="Analítico - Meta 1"/>
      <sheetName val="Cronograma - Meta 1"/>
      <sheetName val="Orça-Sintético Geral"/>
      <sheetName val="Cronograma-obsoleto"/>
      <sheetName val="Cronograma-FF"/>
      <sheetName val="Orça-Analítico Geral"/>
      <sheetName val="Memória de Cálculo Geral"/>
      <sheetName val="Planilha2"/>
      <sheetName val="PARA MEMO"/>
      <sheetName val="Cronograma Geral"/>
      <sheetName val="QCI-OGU"/>
      <sheetName val="CurvaABC"/>
      <sheetName val="CurvaABC-2"/>
      <sheetName val="Plan1"/>
      <sheetName val="CURVA ABC"/>
      <sheetName val="BDI"/>
      <sheetName val="QCI"/>
      <sheetName val="Planilha1"/>
      <sheetName val="Composição"/>
      <sheetName val="Plan2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6">
          <cell r="G16"/>
        </row>
        <row r="18">
          <cell r="F18"/>
        </row>
        <row r="20">
          <cell r="F20"/>
        </row>
        <row r="22">
          <cell r="F22" t="str">
            <v>VALOR (R$)</v>
          </cell>
        </row>
        <row r="24">
          <cell r="F24">
            <v>10015.200000000001</v>
          </cell>
        </row>
        <row r="26">
          <cell r="F26">
            <v>1173.42</v>
          </cell>
        </row>
        <row r="28">
          <cell r="F28">
            <v>7.6</v>
          </cell>
        </row>
        <row r="33">
          <cell r="F33">
            <v>57518.89</v>
          </cell>
        </row>
        <row r="34">
          <cell r="F34">
            <v>19171.960000000003</v>
          </cell>
        </row>
        <row r="35">
          <cell r="F35">
            <v>3944.49</v>
          </cell>
        </row>
        <row r="36">
          <cell r="F36">
            <v>482500.00000000006</v>
          </cell>
        </row>
        <row r="39">
          <cell r="G39"/>
        </row>
      </sheetData>
      <sheetData sheetId="9"/>
      <sheetData sheetId="10"/>
      <sheetData sheetId="11">
        <row r="98">
          <cell r="D98"/>
        </row>
      </sheetData>
      <sheetData sheetId="12">
        <row r="11">
          <cell r="O11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63">
          <cell r="B63" t="str">
            <v xml:space="preserve">VALOR DO PROJETO COM BDI (R$) = .  .  .  </v>
          </cell>
        </row>
      </sheetData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ÇAMENTÁRIA"/>
      <sheetName val="CRON. FIS. FINAN."/>
      <sheetName val="ORÇAMENTO SINTÉTICO"/>
      <sheetName val="COMP.DE.CUSTO"/>
      <sheetName val="MEMOR. CALCULO"/>
      <sheetName val="BDI"/>
      <sheetName val="ENCARGOS"/>
      <sheetName val="CURVA ABC"/>
    </sheetNames>
    <sheetDataSet>
      <sheetData sheetId="0">
        <row r="4">
          <cell r="B4" t="str">
            <v>IMPLANTAÇÃO PAVIMENTAÇÃO E ACESSIBILIDADE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GE 2010"/>
      <sheetName val="IBGE 2000"/>
      <sheetName val="Área"/>
      <sheetName val="Microrregiões"/>
      <sheetName val="PLANILHA ORÇAMENTÁRIA"/>
      <sheetName val="ORÇAM.SINTETICO"/>
      <sheetName val="CRONOGRAMA"/>
      <sheetName val="MEMORIA DE CALCULO"/>
      <sheetName val="BDI"/>
      <sheetName val="ENCARGOS"/>
      <sheetName val="Comp.Cust."/>
      <sheetName val="Preço de Bombas Sub"/>
      <sheetName val="CURVA A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E5" t="str">
            <v>ESTRADA DE ACESSO B. RAPOSO X MORRO DO ANGICO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GE 2010"/>
      <sheetName val="IBGE 2000"/>
      <sheetName val="Área"/>
      <sheetName val="Microrregiões"/>
      <sheetName val="PLANILHA ORÇAMENTÁRIA"/>
      <sheetName val="ORÇAM.SINTETICO"/>
      <sheetName val="CRONOGRAMA"/>
      <sheetName val="MEMORIA DE CALCULO"/>
      <sheetName val="BDI"/>
      <sheetName val="ENCARGOS"/>
      <sheetName val="Comp.Cust."/>
      <sheetName val="Preço de Bombas Sub"/>
      <sheetName val="CURVA A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E5" t="str">
            <v>ESTRADA DE ACESSO BAIXÃO DO LERIANO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GE 2010"/>
      <sheetName val="IBGE 2000"/>
      <sheetName val="Área"/>
      <sheetName val="Microrregiões"/>
      <sheetName val="PLANILHA ORÇAMENTÁRIA"/>
      <sheetName val="ORÇAM.SINTETICO"/>
      <sheetName val="CRONOGRAMA"/>
      <sheetName val="MEMORIA DE CALCULO"/>
      <sheetName val="BDI"/>
      <sheetName val="ENCARGOS"/>
      <sheetName val="Comp.Cust."/>
      <sheetName val="Preço de Bombas Sub"/>
      <sheetName val="CURVA A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E5" t="str">
            <v>ESTRADA DE ACESSO JUNCO X LIVRAMENTO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GE 2010"/>
      <sheetName val="IBGE 2000"/>
      <sheetName val="Área"/>
      <sheetName val="Microrregiões"/>
      <sheetName val="PLANILHA ORÇAMENTÁRIA"/>
      <sheetName val="ORÇAM.SINTETICO"/>
      <sheetName val="CRONOGRAMA"/>
      <sheetName val="MEMORIA DE CALCULO"/>
      <sheetName val="BDI"/>
      <sheetName val="ENCARGOS"/>
      <sheetName val="Comp.Cust."/>
      <sheetName val="Preço de Bombas Sub"/>
      <sheetName val="CURVA A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E5" t="str">
            <v>ESTRADA DE ACESSO AO POVOADO LAGO VERDE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GE 2010"/>
      <sheetName val="IBGE 2000"/>
      <sheetName val="Área"/>
      <sheetName val="Microrregiões"/>
      <sheetName val="PLANILHA ORÇAMENTÁRIA"/>
      <sheetName val="ORÇAM.SINTETICO"/>
      <sheetName val="CRONOGRAMA"/>
      <sheetName val="MEMORIA DE CALCULO"/>
      <sheetName val="BDI"/>
      <sheetName val="ENCARGOS"/>
      <sheetName val="Comp.Cust."/>
      <sheetName val="Preço de Bombas Sub"/>
      <sheetName val="CURVA ABC"/>
      <sheetName val="Planilh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E5" t="str">
            <v>ESTRADA DE ACESSO AO  MORCEGO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Resumo"/>
      <sheetName val="Orçamento Total"/>
      <sheetName val="MEMORIA DE CALCULO"/>
      <sheetName val="DMT 01"/>
      <sheetName val="DMT 02"/>
      <sheetName val="Cronograma Físico Financeiro"/>
      <sheetName val="COMPOSIÇÃO DE CUSTOS"/>
      <sheetName val="QCI "/>
      <sheetName val="COMP. PROJ. EXECUTIVO"/>
      <sheetName val="MAT BET"/>
      <sheetName val=" BDI"/>
      <sheetName val="BDI 15,00%"/>
      <sheetName val="ENCARGOS SOCIAIS "/>
    </sheetNames>
    <sheetDataSet>
      <sheetData sheetId="0" refreshError="1"/>
      <sheetData sheetId="1" refreshError="1"/>
      <sheetData sheetId="2" refreshError="1">
        <row r="28">
          <cell r="C28" t="str">
            <v>PLACA DE OBRA EM CHAPA DE ACO GALVANIZADO</v>
          </cell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</row>
        <row r="36">
          <cell r="C36" t="str">
            <v>Administração Local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</row>
        <row r="45">
          <cell r="C45" t="str">
            <v>DESMATAMENTO E LIMPEZA MECANIZADA DE TERRENO COM REMOCAO DE CAMADA VEGETAL, UTILIZANDO TRATOR DE ESTEIRAS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</row>
        <row r="49">
          <cell r="C49" t="str">
            <v>TRANSPORTE DE MATERIAL -BOTA-FORA, DMT ATE 8KM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Resumo"/>
      <sheetName val="Orçamento Total"/>
      <sheetName val="MEMORIA DE CALCULO"/>
      <sheetName val="DMT 01"/>
      <sheetName val="DMT 02"/>
      <sheetName val="Cronograma Físico Financeiro"/>
      <sheetName val="COMPOSIÇÃO DE CUSTOS"/>
      <sheetName val="QCI "/>
      <sheetName val="COMP. PROJ. EXECUTIVO"/>
      <sheetName val="MAT BET"/>
      <sheetName val=" BDI"/>
      <sheetName val="BDI 15,00%"/>
      <sheetName val="ENCARGOS SOCIAIS "/>
    </sheetNames>
    <sheetDataSet>
      <sheetData sheetId="0"/>
      <sheetData sheetId="1"/>
      <sheetData sheetId="2">
        <row r="43">
          <cell r="L43">
            <v>108841.2</v>
          </cell>
        </row>
        <row r="47">
          <cell r="N47">
            <v>157474.39273109924</v>
          </cell>
        </row>
        <row r="51">
          <cell r="L51">
            <v>50234.400000000001</v>
          </cell>
        </row>
        <row r="55">
          <cell r="H55">
            <v>251172</v>
          </cell>
        </row>
        <row r="78">
          <cell r="L78">
            <v>104</v>
          </cell>
        </row>
        <row r="107">
          <cell r="L107">
            <v>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Resumo"/>
      <sheetName val="Orçamento Total"/>
      <sheetName val="MEMORIA DE CALCULO"/>
      <sheetName val="DMT 01"/>
      <sheetName val="DMT 02"/>
      <sheetName val="Cronograma Físico Financeiro"/>
      <sheetName val="COMPOSIÇÃO DE CUSTOS"/>
      <sheetName val="QCI "/>
      <sheetName val="COMP. PROJ. EXECUTIVO"/>
      <sheetName val="MAT BET"/>
      <sheetName val=" BDI"/>
      <sheetName val="BDI 15,00%"/>
      <sheetName val="ENCARGOS SOCIAIS "/>
    </sheetNames>
    <sheetDataSet>
      <sheetData sheetId="0"/>
      <sheetData sheetId="1"/>
      <sheetData sheetId="2">
        <row r="69">
          <cell r="C69" t="str">
            <v>Corpo de BQTC D= 1,00m - Fornecimento e assentamento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</row>
        <row r="71">
          <cell r="L71">
            <v>24</v>
          </cell>
        </row>
        <row r="73">
          <cell r="C73" t="str">
            <v>Corpo de BTTC D= 1,00m - Fornecimento e assentamento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</row>
        <row r="75">
          <cell r="L75">
            <v>24</v>
          </cell>
        </row>
        <row r="77">
          <cell r="C77" t="str">
            <v>Corpo de BDTC D= 1,00m - Fornecimento e assentamento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</row>
        <row r="79">
          <cell r="L79">
            <v>8</v>
          </cell>
        </row>
        <row r="81">
          <cell r="C81" t="str">
            <v>Corpo de BSTC D= 1,00m - Fornecimento e assentamneto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</row>
        <row r="83">
          <cell r="L83">
            <v>8</v>
          </cell>
        </row>
        <row r="85">
          <cell r="C85" t="str">
            <v>Corpo de BDTC D= 0,80m - Fornecimento e assentamento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</row>
        <row r="89">
          <cell r="C89" t="str">
            <v>Corpo de BSTC D= 0,80m - Fornecimento e assentamento</v>
          </cell>
          <cell r="D89"/>
          <cell r="E89"/>
          <cell r="F89"/>
          <cell r="G89"/>
          <cell r="H89"/>
          <cell r="I89"/>
          <cell r="J89"/>
          <cell r="K89"/>
          <cell r="L89"/>
          <cell r="M89"/>
          <cell r="N89"/>
        </row>
        <row r="91">
          <cell r="L91">
            <v>16</v>
          </cell>
        </row>
        <row r="93">
          <cell r="C93" t="str">
            <v>Corpo de BDTC D= 0,60m - Fornecimento e assentamento</v>
          </cell>
          <cell r="D93"/>
          <cell r="E93"/>
          <cell r="F93"/>
          <cell r="G93"/>
          <cell r="H93"/>
          <cell r="I93"/>
          <cell r="J93"/>
          <cell r="K93"/>
          <cell r="L93"/>
          <cell r="M93"/>
          <cell r="N93"/>
        </row>
        <row r="95">
          <cell r="L95">
            <v>80</v>
          </cell>
        </row>
        <row r="97">
          <cell r="C97" t="str">
            <v xml:space="preserve"> Boca de BQTC D= 1,00m</v>
          </cell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/>
        </row>
        <row r="99">
          <cell r="L99">
            <v>6</v>
          </cell>
        </row>
        <row r="101">
          <cell r="C101" t="str">
            <v>Boca de BTTC D= 1,00m</v>
          </cell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</row>
        <row r="103">
          <cell r="L103">
            <v>6</v>
          </cell>
        </row>
        <row r="105">
          <cell r="C105" t="str">
            <v>Boca de BDTC D= 1,00m</v>
          </cell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</row>
        <row r="107">
          <cell r="L107">
            <v>2</v>
          </cell>
        </row>
        <row r="109">
          <cell r="C109" t="str">
            <v>Boca de BSTC D= 1,00m</v>
          </cell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</row>
        <row r="111">
          <cell r="L111">
            <v>2</v>
          </cell>
        </row>
        <row r="114">
          <cell r="C114" t="str">
            <v>Boca de BDTC D= 0,80m</v>
          </cell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</row>
        <row r="118">
          <cell r="C118" t="str">
            <v>Boca de BSTC D= 0,80m</v>
          </cell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</row>
        <row r="120">
          <cell r="L120">
            <v>4</v>
          </cell>
        </row>
        <row r="122">
          <cell r="C122" t="str">
            <v>Boca de BDTC D= 0,60m</v>
          </cell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</row>
        <row r="124">
          <cell r="L124">
            <v>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javascript:nm_gp_submit5('/consulta_composicao_detalhado/',%20'/consulta_composicao/',%20'@SC_par@4618@SC_par@consulta_composicao_detalha_insumos_composicao@SC_par@2a6efe76b229339f0bc7bad91daeebef',%20'_self',%20'inicio',%20'0',%20'0',%20'',%20'consulta_composicao_detalhado',%20'8')" TargetMode="External"/><Relationship Id="rId13" Type="http://schemas.openxmlformats.org/officeDocument/2006/relationships/hyperlink" Target="javascript:nm_gp_submit5('/consulta_composicao_detalhado/',%20'/consulta_composicao/',%20'@SC_par@4618@SC_par@consulta_composicao_detalha_insumos_composicao@SC_par@48df78695211b7b8d8c7bb612336356c',%20'_self',%20'inicio',%20'0',%20'0',%20'',%20'consulta_composicao_detalhado',%20'13')" TargetMode="External"/><Relationship Id="rId3" Type="http://schemas.openxmlformats.org/officeDocument/2006/relationships/hyperlink" Target="javascript:nm_gp_submit5('/consulta_composicao_detalhado/',%20'/consulta_composicao/',%20'@SC_par@4618@SC_par@consulta_composicao_detalha_insumos_composicao@SC_par@72dd2cc41730b804f5f1ff67951a7112',%20'_self',%20'inicio',%20'0',%20'0',%20'',%20'consulta_composicao_detalhado',%20'3')" TargetMode="External"/><Relationship Id="rId7" Type="http://schemas.openxmlformats.org/officeDocument/2006/relationships/hyperlink" Target="javascript:nm_gp_submit5('/consulta_composicao_detalhado/',%20'/consulta_composicao/',%20'@SC_par@4618@SC_par@consulta_composicao_detalha_insumos_composicao@SC_par@610a256f07407c0b17179becdc19fb31',%20'_self',%20'inicio',%20'0',%20'0',%20'',%20'consulta_composicao_detalhado',%20'7')" TargetMode="External"/><Relationship Id="rId12" Type="http://schemas.openxmlformats.org/officeDocument/2006/relationships/hyperlink" Target="javascript:nm_gp_submit5('/consulta_composicao_detalhado/',%20'/consulta_composicao/',%20'@SC_par@4618@SC_par@consulta_composicao_detalha_insumos_composicao@SC_par@8ffba09d0a1ff4a7776d6586fc3afa42',%20'_self',%20'inicio',%20'0',%20'0',%20'',%20'consulta_composicao_detalhado',%20'12')" TargetMode="External"/><Relationship Id="rId2" Type="http://schemas.openxmlformats.org/officeDocument/2006/relationships/hyperlink" Target="javascript:nm_gp_submit5('/consulta_composicao_detalhado/',%20'/consulta_composicao/',%20'@SC_par@4618@SC_par@consulta_composicao_detalha_insumos_composicao@SC_par@383590e5a349e16814e2a194b856b861',%20'_self',%20'inicio',%20'0',%20'0',%20'',%20'consulta_composicao_detalhado',%20'2')" TargetMode="External"/><Relationship Id="rId1" Type="http://schemas.openxmlformats.org/officeDocument/2006/relationships/hyperlink" Target="javascript:nm_gp_submit5('/consulta_composicao_detalhado/',%20'/consulta_composicao/',%20'@SC_par@4618@SC_par@consulta_composicao_detalha_insumos_composicao@SC_par@7df0cde4b83d38888f0e2c48a0a44771',%20'_self',%20'inicio',%20'0',%20'0',%20'',%20'consulta_composicao_detalhado',%20'1')" TargetMode="External"/><Relationship Id="rId6" Type="http://schemas.openxmlformats.org/officeDocument/2006/relationships/hyperlink" Target="javascript:nm_gp_submit5('/consulta_composicao_detalhado/',%20'/consulta_composicao/',%20'@SC_par@4618@SC_par@consulta_composicao_detalha_insumos_composicao@SC_par@527fdd4cb1586aa8bf034e5d5262eeda',%20'_self',%20'inicio',%20'0',%20'0',%20'',%20'consulta_composicao_detalhado',%20'6')" TargetMode="External"/><Relationship Id="rId11" Type="http://schemas.openxmlformats.org/officeDocument/2006/relationships/hyperlink" Target="javascript:nm_gp_submit5('/consulta_composicao_detalhado/',%20'/consulta_composicao/',%20'@SC_par@4618@SC_par@consulta_composicao_detalha_insumos_composicao@SC_par@0fb7f16a1d68a31f0cdf58387b65abe1',%20'_self',%20'inicio',%20'0',%20'0',%20'',%20'consulta_composicao_detalhado',%20'11')" TargetMode="External"/><Relationship Id="rId5" Type="http://schemas.openxmlformats.org/officeDocument/2006/relationships/hyperlink" Target="javascript:nm_gp_submit5('/consulta_composicao_detalhado/',%20'/consulta_composicao/',%20'@SC_par@4618@SC_par@consulta_composicao_detalha_insumos_composicao@SC_par@b944a502cad04915f72ef331c0c2e139',%20'_self',%20'inicio',%20'0',%20'0',%20'',%20'consulta_composicao_detalhado',%20'5')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javascript:nm_gp_submit5('/consulta_composicao_detalhado/',%20'/consulta_composicao/',%20'@SC_par@4618@SC_par@consulta_composicao_detalha_insumos_composicao@SC_par@173e2271efa361cf04e14984e27f3060',%20'_self',%20'inicio',%20'0',%20'0',%20'',%20'consulta_composicao_detalhado',%20'10')" TargetMode="External"/><Relationship Id="rId4" Type="http://schemas.openxmlformats.org/officeDocument/2006/relationships/hyperlink" Target="javascript:nm_gp_submit5('/consulta_composicao_detalhado/',%20'/consulta_composicao/',%20'@SC_par@4618@SC_par@consulta_composicao_detalha_insumos_composicao@SC_par@5035b6da3b5283f1cabe1680ed89d37f',%20'_self',%20'inicio',%20'0',%20'0',%20'',%20'consulta_composicao_detalhado',%20'4')" TargetMode="External"/><Relationship Id="rId9" Type="http://schemas.openxmlformats.org/officeDocument/2006/relationships/hyperlink" Target="javascript:nm_gp_submit5('/consulta_composicao_detalhado/',%20'/consulta_composicao/',%20'@SC_par@4618@SC_par@consulta_composicao_detalha_insumos_composicao@SC_par@a9a016f7d1972aa7a4b2058cb6e82e99',%20'_self',%20'inicio',%20'0',%20'0',%20'',%20'consulta_composicao_detalhado',%20'9')" TargetMode="External"/><Relationship Id="rId1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139C1-6C8C-44C1-B846-553124AC33AB}">
  <sheetPr>
    <pageSetUpPr fitToPage="1"/>
  </sheetPr>
  <dimension ref="B3:H23"/>
  <sheetViews>
    <sheetView view="pageBreakPreview" topLeftCell="A4" zoomScale="60" zoomScaleNormal="100" workbookViewId="0">
      <selection activeCell="G10" sqref="G10:G11"/>
    </sheetView>
  </sheetViews>
  <sheetFormatPr defaultRowHeight="15" x14ac:dyDescent="0.25"/>
  <cols>
    <col min="3" max="3" width="22.7109375" customWidth="1"/>
    <col min="4" max="4" width="4.7109375" customWidth="1"/>
    <col min="5" max="5" width="40.28515625" customWidth="1"/>
    <col min="6" max="6" width="16.85546875" customWidth="1"/>
    <col min="7" max="7" width="39" customWidth="1"/>
    <col min="8" max="8" width="27.42578125" customWidth="1"/>
  </cols>
  <sheetData>
    <row r="3" spans="2:8" ht="15.75" thickBot="1" x14ac:dyDescent="0.3"/>
    <row r="4" spans="2:8" ht="24.95" customHeight="1" x14ac:dyDescent="0.25">
      <c r="B4" s="1001"/>
      <c r="C4" s="1002"/>
      <c r="D4" s="630" t="s">
        <v>888</v>
      </c>
      <c r="E4" s="630"/>
      <c r="F4" s="630"/>
      <c r="G4" s="630"/>
      <c r="H4" s="608"/>
    </row>
    <row r="5" spans="2:8" ht="24.95" customHeight="1" x14ac:dyDescent="0.25">
      <c r="B5" s="1003"/>
      <c r="C5" s="1004"/>
      <c r="D5" s="631" t="s">
        <v>889</v>
      </c>
      <c r="E5" s="631"/>
      <c r="F5" s="631"/>
      <c r="G5" s="631"/>
      <c r="H5" s="632"/>
    </row>
    <row r="6" spans="2:8" ht="24.95" customHeight="1" x14ac:dyDescent="0.25">
      <c r="B6" s="1003"/>
      <c r="C6" s="1004"/>
      <c r="D6" s="1005" t="s">
        <v>887</v>
      </c>
      <c r="E6" s="1005"/>
      <c r="F6" s="1005"/>
      <c r="G6" s="631"/>
      <c r="H6" s="632"/>
    </row>
    <row r="7" spans="2:8" ht="24.95" customHeight="1" x14ac:dyDescent="0.25">
      <c r="B7" s="1003"/>
      <c r="C7" s="1004"/>
      <c r="D7" s="1005"/>
      <c r="E7" s="1005"/>
      <c r="F7" s="1005"/>
      <c r="G7" s="1006"/>
      <c r="H7" s="1007"/>
    </row>
    <row r="8" spans="2:8" ht="24.95" customHeight="1" thickBot="1" x14ac:dyDescent="0.3">
      <c r="B8" s="1003"/>
      <c r="C8" s="1004"/>
      <c r="D8" s="1005"/>
      <c r="E8" s="1005"/>
      <c r="F8" s="1005"/>
      <c r="G8" s="1008"/>
      <c r="H8" s="1009"/>
    </row>
    <row r="9" spans="2:8" ht="24.95" customHeight="1" thickBot="1" x14ac:dyDescent="0.3">
      <c r="B9" s="627" t="s">
        <v>884</v>
      </c>
      <c r="C9" s="628"/>
      <c r="D9" s="628"/>
      <c r="E9" s="628"/>
      <c r="F9" s="628"/>
      <c r="G9" s="628"/>
      <c r="H9" s="629"/>
    </row>
    <row r="10" spans="2:8" ht="24.95" customHeight="1" x14ac:dyDescent="0.25">
      <c r="B10" s="1010" t="s">
        <v>0</v>
      </c>
      <c r="C10" s="1011" t="s">
        <v>885</v>
      </c>
      <c r="D10" s="1011"/>
      <c r="E10" s="1011"/>
      <c r="F10" s="1011"/>
      <c r="G10" s="1012" t="s">
        <v>42</v>
      </c>
      <c r="H10" s="1013" t="s">
        <v>725</v>
      </c>
    </row>
    <row r="11" spans="2:8" ht="24.95" customHeight="1" x14ac:dyDescent="0.25">
      <c r="B11" s="1014"/>
      <c r="C11" s="1015"/>
      <c r="D11" s="1015"/>
      <c r="E11" s="1015"/>
      <c r="F11" s="1015"/>
      <c r="G11" s="1012"/>
      <c r="H11" s="1016"/>
    </row>
    <row r="12" spans="2:8" ht="24.95" customHeight="1" x14ac:dyDescent="0.25">
      <c r="B12" s="1017" t="s">
        <v>31</v>
      </c>
      <c r="C12" s="1018" t="str">
        <f>'PLANILHA ORÇAMENTÁRIA'!C45</f>
        <v>SERVIÇOS PRELIMINARES</v>
      </c>
      <c r="D12" s="1019"/>
      <c r="E12" s="1019"/>
      <c r="F12" s="1019"/>
      <c r="G12" s="1037">
        <f>'PLANILHA ORÇAMENTÁRIA'!L45</f>
        <v>227384.92</v>
      </c>
      <c r="H12" s="1020">
        <f>G12/G22</f>
        <v>0.11877880577896741</v>
      </c>
    </row>
    <row r="13" spans="2:8" ht="24.95" customHeight="1" x14ac:dyDescent="0.25">
      <c r="B13" s="1017"/>
      <c r="C13" s="1021"/>
      <c r="D13" s="1022"/>
      <c r="E13" s="1022"/>
      <c r="F13" s="1022"/>
      <c r="G13" s="1037"/>
      <c r="H13" s="1020"/>
    </row>
    <row r="14" spans="2:8" ht="24.95" customHeight="1" x14ac:dyDescent="0.25">
      <c r="B14" s="1017" t="s">
        <v>32</v>
      </c>
      <c r="C14" s="1018" t="str">
        <f>'PLANILHA ORÇAMENTÁRIA'!C50</f>
        <v>SERVIÇOS EM TERRA</v>
      </c>
      <c r="D14" s="1019"/>
      <c r="E14" s="1019"/>
      <c r="F14" s="1019"/>
      <c r="G14" s="1037">
        <f>'PLANILHA ORÇAMENTÁRIA'!L50</f>
        <v>1176092.6008764773</v>
      </c>
      <c r="H14" s="1020">
        <f>G14/G22</f>
        <v>0.61435417360829259</v>
      </c>
    </row>
    <row r="15" spans="2:8" ht="24.95" customHeight="1" x14ac:dyDescent="0.25">
      <c r="B15" s="1017"/>
      <c r="C15" s="1021"/>
      <c r="D15" s="1022"/>
      <c r="E15" s="1022"/>
      <c r="F15" s="1022"/>
      <c r="G15" s="1037"/>
      <c r="H15" s="1020"/>
    </row>
    <row r="16" spans="2:8" ht="24.95" customHeight="1" x14ac:dyDescent="0.25">
      <c r="B16" s="1023" t="s">
        <v>33</v>
      </c>
      <c r="C16" s="1018" t="str">
        <f>'PLANILHA ORÇAMENTÁRIA'!C56</f>
        <v>DRENAGEM</v>
      </c>
      <c r="D16" s="1019"/>
      <c r="E16" s="1019"/>
      <c r="F16" s="1019"/>
      <c r="G16" s="1037">
        <f>'PLANILHA ORÇAMENTÁRIA'!L56</f>
        <v>426612.64000000007</v>
      </c>
      <c r="H16" s="1024">
        <f>G16/G22</f>
        <v>0.22284916655604314</v>
      </c>
    </row>
    <row r="17" spans="2:8" ht="24.95" customHeight="1" x14ac:dyDescent="0.25">
      <c r="B17" s="1025"/>
      <c r="C17" s="1021"/>
      <c r="D17" s="1022"/>
      <c r="E17" s="1022"/>
      <c r="F17" s="1022"/>
      <c r="G17" s="1037"/>
      <c r="H17" s="1026"/>
    </row>
    <row r="18" spans="2:8" ht="24.95" customHeight="1" x14ac:dyDescent="0.25">
      <c r="B18" s="1023" t="s">
        <v>161</v>
      </c>
      <c r="C18" s="1018" t="str">
        <f>'PLANILHA ORÇAMENTÁRIA'!C72</f>
        <v>OBRA DE ARTE ESPECIAL (PONTE)</v>
      </c>
      <c r="D18" s="1019"/>
      <c r="E18" s="1019"/>
      <c r="F18" s="1019"/>
      <c r="G18" s="1037">
        <f>'PLANILHA ORÇAMENTÁRIA'!L72</f>
        <v>76306.963199999998</v>
      </c>
      <c r="H18" s="1024">
        <f>G18/G22</f>
        <v>3.9860382832404243E-2</v>
      </c>
    </row>
    <row r="19" spans="2:8" ht="24.95" customHeight="1" x14ac:dyDescent="0.25">
      <c r="B19" s="1025"/>
      <c r="C19" s="1021"/>
      <c r="D19" s="1022"/>
      <c r="E19" s="1022"/>
      <c r="F19" s="1022"/>
      <c r="G19" s="1037"/>
      <c r="H19" s="1026"/>
    </row>
    <row r="20" spans="2:8" s="618" customFormat="1" ht="24.95" customHeight="1" x14ac:dyDescent="0.25">
      <c r="B20" s="1023" t="s">
        <v>907</v>
      </c>
      <c r="C20" s="1018" t="str">
        <f>'PLANILHA ORÇAMENTÁRIA'!C76</f>
        <v>SERVIÇOS FINAIS</v>
      </c>
      <c r="D20" s="1019"/>
      <c r="E20" s="1019"/>
      <c r="F20" s="1019"/>
      <c r="G20" s="1037">
        <f>'PLANILHA ORÇAMENTÁRIA'!L76</f>
        <v>7958.88</v>
      </c>
      <c r="H20" s="1024">
        <f>G20/G22</f>
        <v>4.1574712242927461E-3</v>
      </c>
    </row>
    <row r="21" spans="2:8" s="618" customFormat="1" ht="24.95" customHeight="1" x14ac:dyDescent="0.25">
      <c r="B21" s="1025"/>
      <c r="C21" s="1021"/>
      <c r="D21" s="1022"/>
      <c r="E21" s="1022"/>
      <c r="F21" s="1022"/>
      <c r="G21" s="1037"/>
      <c r="H21" s="1026"/>
    </row>
    <row r="22" spans="2:8" ht="24.95" customHeight="1" x14ac:dyDescent="0.25">
      <c r="B22" s="1027" t="s">
        <v>886</v>
      </c>
      <c r="C22" s="1028"/>
      <c r="D22" s="1028"/>
      <c r="E22" s="1028"/>
      <c r="F22" s="1029"/>
      <c r="G22" s="1030">
        <f>SUM(G12:G21)</f>
        <v>1914356.0040764771</v>
      </c>
      <c r="H22" s="1031"/>
    </row>
    <row r="23" spans="2:8" ht="24.95" customHeight="1" thickBot="1" x14ac:dyDescent="0.3">
      <c r="B23" s="1032"/>
      <c r="C23" s="1033"/>
      <c r="D23" s="1033"/>
      <c r="E23" s="1033"/>
      <c r="F23" s="1034"/>
      <c r="G23" s="1035"/>
      <c r="H23" s="1036"/>
    </row>
  </sheetData>
  <sheetProtection algorithmName="SHA-512" hashValue="xBpRDLvXAIietxGmnD+qyikvpkcMKCx1rMOOxL05X+YFrXJutYzDGv5wppzYjnwgII5ERCMTPKGTcnocwmbufQ==" saltValue="nKycBzV9UhUscTzWN7heUQ==" spinCount="100000" sheet="1" objects="1" scenarios="1"/>
  <mergeCells count="33">
    <mergeCell ref="B18:B19"/>
    <mergeCell ref="C18:F19"/>
    <mergeCell ref="G18:G19"/>
    <mergeCell ref="H18:H19"/>
    <mergeCell ref="B22:F23"/>
    <mergeCell ref="G22:H23"/>
    <mergeCell ref="B20:B21"/>
    <mergeCell ref="C20:F21"/>
    <mergeCell ref="G20:G21"/>
    <mergeCell ref="H20:H21"/>
    <mergeCell ref="B14:B15"/>
    <mergeCell ref="C14:F15"/>
    <mergeCell ref="G14:G15"/>
    <mergeCell ref="H14:H15"/>
    <mergeCell ref="B16:B17"/>
    <mergeCell ref="C16:F17"/>
    <mergeCell ref="G16:G17"/>
    <mergeCell ref="H16:H17"/>
    <mergeCell ref="B10:B11"/>
    <mergeCell ref="C10:F11"/>
    <mergeCell ref="G10:G11"/>
    <mergeCell ref="H10:H11"/>
    <mergeCell ref="B12:B13"/>
    <mergeCell ref="C12:F13"/>
    <mergeCell ref="G12:G13"/>
    <mergeCell ref="H12:H13"/>
    <mergeCell ref="B9:H9"/>
    <mergeCell ref="D4:G4"/>
    <mergeCell ref="D5:H5"/>
    <mergeCell ref="D6:F8"/>
    <mergeCell ref="G6:H6"/>
    <mergeCell ref="G7:G8"/>
    <mergeCell ref="B4:C8"/>
  </mergeCells>
  <pageMargins left="0.51181102362204722" right="0.51181102362204722" top="0.78740157480314965" bottom="0.78740157480314965" header="0.31496062992125984" footer="0.31496062992125984"/>
  <pageSetup paperSize="9" scale="84" orientation="landscape" horizontalDpi="360" verticalDpi="360" r:id="rId1"/>
  <headerFooter>
    <oddFooter>Página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4:J11"/>
  <sheetViews>
    <sheetView workbookViewId="0">
      <selection activeCell="H11" sqref="H11"/>
    </sheetView>
  </sheetViews>
  <sheetFormatPr defaultColWidth="11.42578125" defaultRowHeight="15" x14ac:dyDescent="0.25"/>
  <cols>
    <col min="3" max="3" width="13.42578125" customWidth="1"/>
    <col min="4" max="4" width="79.42578125" customWidth="1"/>
    <col min="5" max="5" width="8.28515625" customWidth="1"/>
    <col min="6" max="6" width="9.85546875" customWidth="1"/>
    <col min="8" max="8" width="15.140625" customWidth="1"/>
  </cols>
  <sheetData>
    <row r="4" spans="3:10" ht="21.75" customHeight="1" x14ac:dyDescent="0.25">
      <c r="C4" s="55" t="s">
        <v>212</v>
      </c>
      <c r="D4" s="56" t="s">
        <v>211</v>
      </c>
      <c r="E4" s="11"/>
      <c r="F4" s="11"/>
      <c r="G4" s="11"/>
      <c r="H4" s="13">
        <f>SUM(H5:H9)</f>
        <v>341.66202400000003</v>
      </c>
    </row>
    <row r="5" spans="3:10" ht="22.5" x14ac:dyDescent="0.25">
      <c r="C5" s="52" t="s">
        <v>225</v>
      </c>
      <c r="D5" s="46" t="s">
        <v>213</v>
      </c>
      <c r="E5" s="47" t="s">
        <v>214</v>
      </c>
      <c r="F5" s="51">
        <v>1.68</v>
      </c>
      <c r="G5" s="47">
        <v>91.74</v>
      </c>
      <c r="H5" s="35">
        <f>F5*G5</f>
        <v>154.1232</v>
      </c>
    </row>
    <row r="6" spans="3:10" ht="21" x14ac:dyDescent="0.25">
      <c r="C6" s="52" t="s">
        <v>215</v>
      </c>
      <c r="D6" s="50" t="s">
        <v>216</v>
      </c>
      <c r="E6" s="47" t="s">
        <v>217</v>
      </c>
      <c r="F6" s="51">
        <v>13</v>
      </c>
      <c r="G6" s="47">
        <v>7.68</v>
      </c>
      <c r="H6" s="35">
        <f t="shared" ref="H6:H9" si="0">F6*G6</f>
        <v>99.84</v>
      </c>
      <c r="I6" s="45"/>
      <c r="J6" s="34"/>
    </row>
    <row r="7" spans="3:10" ht="16.5" customHeight="1" x14ac:dyDescent="0.25">
      <c r="C7" s="52" t="s">
        <v>218</v>
      </c>
      <c r="D7" s="52" t="s">
        <v>219</v>
      </c>
      <c r="E7" s="47" t="s">
        <v>220</v>
      </c>
      <c r="F7" s="51">
        <v>0.45</v>
      </c>
      <c r="G7" s="47">
        <v>38.35</v>
      </c>
      <c r="H7" s="35">
        <f t="shared" si="0"/>
        <v>17.2575</v>
      </c>
      <c r="I7" s="45"/>
      <c r="J7" s="34"/>
    </row>
    <row r="8" spans="3:10" ht="21" x14ac:dyDescent="0.25">
      <c r="C8" s="52" t="s">
        <v>221</v>
      </c>
      <c r="D8" s="50" t="s">
        <v>222</v>
      </c>
      <c r="E8" s="47" t="s">
        <v>220</v>
      </c>
      <c r="F8" s="51">
        <v>0.21890000000000001</v>
      </c>
      <c r="G8" s="47">
        <v>11.96</v>
      </c>
      <c r="H8" s="35">
        <f t="shared" si="0"/>
        <v>2.6180440000000003</v>
      </c>
      <c r="I8" s="45"/>
      <c r="J8" s="34"/>
    </row>
    <row r="9" spans="3:10" x14ac:dyDescent="0.25">
      <c r="C9" s="52" t="s">
        <v>223</v>
      </c>
      <c r="D9" s="50" t="s">
        <v>224</v>
      </c>
      <c r="E9" s="47" t="s">
        <v>220</v>
      </c>
      <c r="F9" s="51">
        <v>0.16800000000000001</v>
      </c>
      <c r="G9" s="47">
        <v>403.71</v>
      </c>
      <c r="H9" s="35">
        <f t="shared" si="0"/>
        <v>67.823279999999997</v>
      </c>
      <c r="I9" s="45"/>
      <c r="J9" s="34"/>
    </row>
    <row r="10" spans="3:10" x14ac:dyDescent="0.25">
      <c r="C10" s="11"/>
      <c r="D10" s="11"/>
      <c r="E10" s="11"/>
      <c r="F10" s="49" t="s">
        <v>226</v>
      </c>
      <c r="G10" s="48">
        <v>0.25</v>
      </c>
      <c r="H10" s="35">
        <f>G10*H4</f>
        <v>85.415506000000008</v>
      </c>
    </row>
    <row r="11" spans="3:10" x14ac:dyDescent="0.25">
      <c r="C11" s="11"/>
      <c r="D11" s="11"/>
      <c r="E11" s="11"/>
      <c r="F11" s="11"/>
      <c r="G11" s="11"/>
      <c r="H11" s="53">
        <f>H4+H10</f>
        <v>427.07753000000002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121DF-65A7-4318-B8F8-9DC0CADA24E6}">
  <sheetPr>
    <pageSetUpPr fitToPage="1"/>
  </sheetPr>
  <dimension ref="C1:K54"/>
  <sheetViews>
    <sheetView view="pageBreakPreview" topLeftCell="B16" zoomScale="60" zoomScaleNormal="70" workbookViewId="0">
      <selection activeCell="F28" sqref="F28"/>
    </sheetView>
  </sheetViews>
  <sheetFormatPr defaultRowHeight="15" x14ac:dyDescent="0.25"/>
  <cols>
    <col min="3" max="3" width="17.28515625" customWidth="1"/>
    <col min="4" max="4" width="94.42578125" customWidth="1"/>
    <col min="5" max="5" width="20.42578125" customWidth="1"/>
    <col min="6" max="6" width="19.85546875" customWidth="1"/>
    <col min="7" max="7" width="31.5703125" customWidth="1"/>
    <col min="8" max="8" width="32" customWidth="1"/>
    <col min="9" max="9" width="34.28515625" customWidth="1"/>
    <col min="10" max="10" width="28.28515625" customWidth="1"/>
    <col min="11" max="11" width="20.7109375" customWidth="1"/>
  </cols>
  <sheetData>
    <row r="1" spans="3:11" ht="15.75" thickBot="1" x14ac:dyDescent="0.3">
      <c r="C1" s="612"/>
      <c r="D1" s="612"/>
      <c r="E1" s="612"/>
      <c r="F1" s="612"/>
      <c r="G1" s="612"/>
      <c r="H1" s="612"/>
      <c r="I1" s="612"/>
      <c r="J1" s="612"/>
      <c r="K1" s="612"/>
    </row>
    <row r="2" spans="3:11" x14ac:dyDescent="0.25">
      <c r="C2" s="1038" t="s">
        <v>723</v>
      </c>
      <c r="D2" s="1039"/>
      <c r="E2" s="1040" t="s">
        <v>872</v>
      </c>
      <c r="F2" s="1040"/>
      <c r="G2" s="1040"/>
      <c r="H2" s="1040"/>
      <c r="I2" s="1040"/>
      <c r="J2" s="1040"/>
      <c r="K2" s="1041"/>
    </row>
    <row r="3" spans="3:11" x14ac:dyDescent="0.25">
      <c r="C3" s="1042"/>
      <c r="D3" s="1043"/>
      <c r="E3" s="1044"/>
      <c r="F3" s="1044"/>
      <c r="G3" s="1044"/>
      <c r="H3" s="1044"/>
      <c r="I3" s="1044"/>
      <c r="J3" s="1044"/>
      <c r="K3" s="1045"/>
    </row>
    <row r="4" spans="3:11" ht="15.75" x14ac:dyDescent="0.25">
      <c r="C4" s="1042"/>
      <c r="D4" s="1043"/>
      <c r="E4" s="1046" t="s">
        <v>874</v>
      </c>
      <c r="F4" s="1046"/>
      <c r="G4" s="1046"/>
      <c r="H4" s="1046"/>
      <c r="I4" s="1046"/>
      <c r="J4" s="1046"/>
      <c r="K4" s="1047"/>
    </row>
    <row r="5" spans="3:11" s="34" customFormat="1" x14ac:dyDescent="0.25">
      <c r="C5" s="1042"/>
      <c r="D5" s="1043"/>
      <c r="E5" s="1048" t="s">
        <v>875</v>
      </c>
      <c r="F5" s="1048"/>
      <c r="G5" s="1048"/>
      <c r="H5" s="1048"/>
      <c r="I5" s="1048"/>
      <c r="J5" s="1048"/>
      <c r="K5" s="1049"/>
    </row>
    <row r="6" spans="3:11" s="34" customFormat="1" x14ac:dyDescent="0.25">
      <c r="C6" s="1042"/>
      <c r="D6" s="1043"/>
      <c r="E6" s="1048"/>
      <c r="F6" s="1048"/>
      <c r="G6" s="1048"/>
      <c r="H6" s="1048"/>
      <c r="I6" s="1048"/>
      <c r="J6" s="1048"/>
      <c r="K6" s="1049"/>
    </row>
    <row r="7" spans="3:11" s="34" customFormat="1" ht="15" customHeight="1" x14ac:dyDescent="0.25">
      <c r="C7" s="1042"/>
      <c r="D7" s="1043"/>
      <c r="E7" s="1050"/>
      <c r="F7" s="1050"/>
      <c r="G7" s="1051"/>
      <c r="H7" s="1052"/>
      <c r="I7" s="1050"/>
      <c r="J7" s="1050"/>
      <c r="K7" s="1053"/>
    </row>
    <row r="8" spans="3:11" s="34" customFormat="1" ht="15" customHeight="1" x14ac:dyDescent="0.25">
      <c r="C8" s="1042"/>
      <c r="D8" s="1043"/>
      <c r="E8" s="1054"/>
      <c r="F8" s="1054"/>
      <c r="G8" s="1055"/>
      <c r="H8" s="1056"/>
      <c r="I8" s="1054"/>
      <c r="J8" s="1054"/>
      <c r="K8" s="1057"/>
    </row>
    <row r="9" spans="3:11" s="34" customFormat="1" ht="15" customHeight="1" x14ac:dyDescent="0.25">
      <c r="C9" s="1042"/>
      <c r="D9" s="1043"/>
      <c r="E9" s="1058"/>
      <c r="F9" s="1058"/>
      <c r="G9" s="1059"/>
      <c r="H9" s="1060"/>
      <c r="I9" s="1058"/>
      <c r="J9" s="1058"/>
      <c r="K9" s="1061"/>
    </row>
    <row r="10" spans="3:11" s="34" customFormat="1" ht="15" customHeight="1" x14ac:dyDescent="0.25">
      <c r="C10" s="1042"/>
      <c r="D10" s="1043"/>
      <c r="E10" s="1062"/>
      <c r="F10" s="1062"/>
      <c r="G10" s="1063"/>
      <c r="H10" s="1064"/>
      <c r="I10" s="1062"/>
      <c r="J10" s="1062"/>
      <c r="K10" s="1065"/>
    </row>
    <row r="11" spans="3:11" s="34" customFormat="1" ht="15" customHeight="1" x14ac:dyDescent="0.25">
      <c r="C11" s="1042"/>
      <c r="D11" s="1043"/>
      <c r="E11" s="1066"/>
      <c r="F11" s="1067"/>
      <c r="G11" s="1067"/>
      <c r="H11" s="1067"/>
      <c r="I11" s="1067"/>
      <c r="J11" s="1067"/>
      <c r="K11" s="1068"/>
    </row>
    <row r="12" spans="3:11" s="34" customFormat="1" ht="15" customHeight="1" x14ac:dyDescent="0.25">
      <c r="C12" s="1042"/>
      <c r="D12" s="1043"/>
      <c r="E12" s="1069"/>
      <c r="F12" s="1070" t="s">
        <v>733</v>
      </c>
      <c r="G12" s="1070"/>
      <c r="H12" s="1070"/>
      <c r="I12" s="1070"/>
      <c r="J12" s="1070"/>
      <c r="K12" s="1432">
        <v>0.26</v>
      </c>
    </row>
    <row r="13" spans="3:11" s="34" customFormat="1" ht="15" customHeight="1" x14ac:dyDescent="0.25">
      <c r="C13" s="1042"/>
      <c r="D13" s="1043"/>
      <c r="E13" s="1069"/>
      <c r="F13" s="1070" t="s">
        <v>910</v>
      </c>
      <c r="G13" s="1070"/>
      <c r="H13" s="1070"/>
      <c r="I13" s="1070"/>
      <c r="J13" s="1070"/>
      <c r="K13" s="1432">
        <f>'PLANILHA ORÇAMENTÁRIA'!L17</f>
        <v>0.85680000000000001</v>
      </c>
    </row>
    <row r="14" spans="3:11" s="34" customFormat="1" ht="15" customHeight="1" x14ac:dyDescent="0.25">
      <c r="C14" s="1042"/>
      <c r="D14" s="1043"/>
      <c r="E14" s="1069"/>
      <c r="F14" s="1070" t="s">
        <v>911</v>
      </c>
      <c r="G14" s="1070"/>
      <c r="H14" s="1070"/>
      <c r="I14" s="1070"/>
      <c r="J14" s="1070"/>
      <c r="K14" s="1432">
        <f>'PLANILHA ORÇAMENTÁRIA'!L18</f>
        <v>0.49330000000000002</v>
      </c>
    </row>
    <row r="15" spans="3:11" s="34" customFormat="1" ht="15" customHeight="1" thickBot="1" x14ac:dyDescent="0.3">
      <c r="C15" s="1072"/>
      <c r="D15" s="1073"/>
      <c r="E15" s="1074"/>
      <c r="F15" s="1074"/>
      <c r="G15" s="1074"/>
      <c r="H15" s="1074"/>
      <c r="I15" s="1074"/>
      <c r="J15" s="1074"/>
      <c r="K15" s="1433"/>
    </row>
    <row r="16" spans="3:11" s="34" customFormat="1" ht="15" customHeight="1" x14ac:dyDescent="0.25">
      <c r="C16" s="1077"/>
      <c r="D16" s="1078"/>
      <c r="E16" s="1079"/>
      <c r="F16" s="1079"/>
      <c r="G16" s="1079"/>
      <c r="H16" s="1079"/>
      <c r="I16" s="1079"/>
      <c r="J16" s="1079"/>
      <c r="K16" s="1080"/>
    </row>
    <row r="17" spans="3:11" s="34" customFormat="1" ht="15" customHeight="1" x14ac:dyDescent="0.25">
      <c r="C17" s="1081" t="s">
        <v>873</v>
      </c>
      <c r="D17" s="1046"/>
      <c r="E17" s="1046"/>
      <c r="F17" s="1046"/>
      <c r="G17" s="1046"/>
      <c r="H17" s="1046"/>
      <c r="I17" s="1046"/>
      <c r="J17" s="1046"/>
      <c r="K17" s="1047"/>
    </row>
    <row r="18" spans="3:11" s="34" customFormat="1" ht="15.75" customHeight="1" x14ac:dyDescent="0.25">
      <c r="C18" s="1082" t="s">
        <v>736</v>
      </c>
      <c r="D18" s="1083"/>
      <c r="E18" s="1083"/>
      <c r="F18" s="1083"/>
      <c r="G18" s="1083"/>
      <c r="H18" s="1083"/>
      <c r="I18" s="1083"/>
      <c r="J18" s="1083"/>
      <c r="K18" s="1084"/>
    </row>
    <row r="19" spans="3:11" s="34" customFormat="1" ht="15.75" thickBot="1" x14ac:dyDescent="0.3">
      <c r="C19" s="1082" t="s">
        <v>737</v>
      </c>
      <c r="D19" s="1083"/>
      <c r="E19" s="1083"/>
      <c r="F19" s="1083"/>
      <c r="G19" s="1083"/>
      <c r="H19" s="1083"/>
      <c r="I19" s="1083"/>
      <c r="J19" s="1083"/>
      <c r="K19" s="1084"/>
    </row>
    <row r="20" spans="3:11" s="34" customFormat="1" ht="16.5" thickBot="1" x14ac:dyDescent="0.3">
      <c r="C20" s="1434" t="s">
        <v>904</v>
      </c>
      <c r="D20" s="1435"/>
      <c r="E20" s="1435"/>
      <c r="F20" s="1435"/>
      <c r="G20" s="1435"/>
      <c r="H20" s="1435"/>
      <c r="I20" s="1435"/>
      <c r="J20" s="1435"/>
      <c r="K20" s="1436"/>
    </row>
    <row r="21" spans="3:11" s="34" customFormat="1" ht="15.75" thickBot="1" x14ac:dyDescent="0.3">
      <c r="C21" s="1111"/>
      <c r="D21" s="1112"/>
      <c r="E21" s="1112"/>
      <c r="F21" s="1112"/>
      <c r="G21" s="1112"/>
      <c r="H21" s="1112"/>
      <c r="I21" s="1112"/>
      <c r="J21" s="1112"/>
      <c r="K21" s="1113"/>
    </row>
    <row r="22" spans="3:11" s="34" customFormat="1" ht="30" customHeight="1" x14ac:dyDescent="0.25">
      <c r="C22" s="1185" t="s">
        <v>795</v>
      </c>
      <c r="D22" s="1186"/>
      <c r="E22" s="1186"/>
      <c r="F22" s="1186"/>
      <c r="G22" s="1186"/>
      <c r="H22" s="1186"/>
      <c r="I22" s="1186"/>
      <c r="J22" s="1186"/>
      <c r="K22" s="1437"/>
    </row>
    <row r="23" spans="3:11" ht="30" customHeight="1" x14ac:dyDescent="0.25">
      <c r="C23" s="1438"/>
      <c r="D23" s="1439"/>
      <c r="E23" s="1439"/>
      <c r="F23" s="1439"/>
      <c r="G23" s="1439"/>
      <c r="H23" s="1439"/>
      <c r="I23" s="1439"/>
      <c r="J23" s="1439"/>
      <c r="K23" s="1440"/>
    </row>
    <row r="24" spans="3:11" ht="30" customHeight="1" thickBot="1" x14ac:dyDescent="0.3">
      <c r="C24" s="1189"/>
      <c r="D24" s="1190"/>
      <c r="E24" s="1190"/>
      <c r="F24" s="1190"/>
      <c r="G24" s="1190"/>
      <c r="H24" s="1190"/>
      <c r="I24" s="1190"/>
      <c r="J24" s="1190"/>
      <c r="K24" s="1441"/>
    </row>
    <row r="25" spans="3:11" ht="30" customHeight="1" x14ac:dyDescent="0.25">
      <c r="C25" s="1442" t="s">
        <v>0</v>
      </c>
      <c r="D25" s="1442" t="s">
        <v>1</v>
      </c>
      <c r="E25" s="1442" t="s">
        <v>2</v>
      </c>
      <c r="F25" s="1443" t="s">
        <v>3</v>
      </c>
      <c r="G25" s="1443" t="s">
        <v>4</v>
      </c>
      <c r="H25" s="1443" t="s">
        <v>880</v>
      </c>
      <c r="I25" s="1443" t="s">
        <v>881</v>
      </c>
      <c r="J25" s="1443" t="s">
        <v>882</v>
      </c>
      <c r="K25" s="1443" t="s">
        <v>883</v>
      </c>
    </row>
    <row r="26" spans="3:11" ht="30" customHeight="1" x14ac:dyDescent="0.25">
      <c r="C26" s="1444"/>
      <c r="D26" s="1444"/>
      <c r="E26" s="1444"/>
      <c r="F26" s="1445"/>
      <c r="G26" s="1445"/>
      <c r="H26" s="1445"/>
      <c r="I26" s="1445"/>
      <c r="J26" s="1445"/>
      <c r="K26" s="1445"/>
    </row>
    <row r="27" spans="3:11" ht="30" customHeight="1" thickBot="1" x14ac:dyDescent="0.3">
      <c r="C27" s="1446"/>
      <c r="D27" s="1446"/>
      <c r="E27" s="1446"/>
      <c r="F27" s="1447"/>
      <c r="G27" s="1447"/>
      <c r="H27" s="1447"/>
      <c r="I27" s="1447"/>
      <c r="J27" s="1447"/>
      <c r="K27" s="1447"/>
    </row>
    <row r="28" spans="3:11" ht="30" customHeight="1" x14ac:dyDescent="0.25">
      <c r="C28" s="1448" t="s">
        <v>10</v>
      </c>
      <c r="D28" s="1449" t="str">
        <f>'PLANILHA ORÇAMENTÁRIA'!C53</f>
        <v>Escavação, carga e transporte de material de 1ª categoria - DMT de 2.500 a 3.000 m - caminho de serviço em revestimento primário - com escavadeira e caminhão basculante de 14 m³</v>
      </c>
      <c r="E28" s="1450" t="s">
        <v>11</v>
      </c>
      <c r="F28" s="1490">
        <f>'PLANILHA ORÇAMENTÁRIA'!E53</f>
        <v>50234.400000000001</v>
      </c>
      <c r="G28" s="1450">
        <f>'PLANILHA ORÇAMENTÁRIA'!J53</f>
        <v>9.34</v>
      </c>
      <c r="H28" s="1451">
        <f t="shared" ref="H28" si="0">F28*G28</f>
        <v>469189.29600000003</v>
      </c>
      <c r="I28" s="1452">
        <f t="shared" ref="I28" si="1">H28/$J$53</f>
        <v>0.24508988662552664</v>
      </c>
      <c r="J28" s="1453">
        <f>I28</f>
        <v>0.24508988662552664</v>
      </c>
      <c r="K28" s="1454" t="s">
        <v>103</v>
      </c>
    </row>
    <row r="29" spans="3:11" ht="30" customHeight="1" x14ac:dyDescent="0.25">
      <c r="C29" s="1455" t="s">
        <v>473</v>
      </c>
      <c r="D29" s="1456" t="str">
        <f>'PLANILHA ORÇAMENTÁRIA'!C54</f>
        <v>REGULARIZAÇÃO E COMPACTAÇÃO DE SOLO PREDOMINANTEMENTE ARGILOSO</v>
      </c>
      <c r="E29" s="1457" t="s">
        <v>6</v>
      </c>
      <c r="F29" s="1491">
        <f>'PLANILHA ORÇAMENTÁRIA'!E54</f>
        <v>251172</v>
      </c>
      <c r="G29" s="1458">
        <f>'PLANILHA ORÇAMENTÁRIA'!J54</f>
        <v>2.0699999999999998</v>
      </c>
      <c r="H29" s="1459">
        <f t="shared" ref="H29:H46" si="2">F29*G29</f>
        <v>519926.04</v>
      </c>
      <c r="I29" s="1460">
        <f t="shared" ref="I29:I51" si="3">H29/$J$53</f>
        <v>0.27159318271672378</v>
      </c>
      <c r="J29" s="1461">
        <f t="shared" ref="J29:J51" si="4">I29+J28</f>
        <v>0.51668306934225039</v>
      </c>
      <c r="K29" s="1462"/>
    </row>
    <row r="30" spans="3:11" ht="30" customHeight="1" x14ac:dyDescent="0.25">
      <c r="C30" s="1463" t="s">
        <v>802</v>
      </c>
      <c r="D30" s="1464" t="str">
        <f>'PLANILHA ORÇAMENTÁRIA'!C68</f>
        <v>Boca de BDTC D= 0,80m</v>
      </c>
      <c r="E30" s="1457" t="s">
        <v>470</v>
      </c>
      <c r="F30" s="1491">
        <f>'PLANILHA ORÇAMENTÁRIA'!E68</f>
        <v>26</v>
      </c>
      <c r="G30" s="1458">
        <f>'PLANILHA ORÇAMENTÁRIA'!J68</f>
        <v>1407.87</v>
      </c>
      <c r="H30" s="1459">
        <f t="shared" si="2"/>
        <v>36604.619999999995</v>
      </c>
      <c r="I30" s="1460">
        <f t="shared" si="3"/>
        <v>1.9121114318367747E-2</v>
      </c>
      <c r="J30" s="1461">
        <f t="shared" si="4"/>
        <v>0.53580418366061811</v>
      </c>
      <c r="K30" s="1462"/>
    </row>
    <row r="31" spans="3:11" ht="30" customHeight="1" x14ac:dyDescent="0.25">
      <c r="C31" s="1455" t="s">
        <v>10</v>
      </c>
      <c r="D31" s="1456" t="str">
        <f>'PLANILHA ORÇAMENTÁRIA'!C52</f>
        <v>TRANSPORTE DE MATERIAL -BOTA-FORA, DMT ATE 8KM</v>
      </c>
      <c r="E31" s="1458" t="s">
        <v>480</v>
      </c>
      <c r="F31" s="1491">
        <f>'PLANILHA ORÇAMENTÁRIA'!E52</f>
        <v>157474.39273109924</v>
      </c>
      <c r="G31" s="1458">
        <f>'PLANILHA ORÇAMENTÁRIA'!J52</f>
        <v>0.98</v>
      </c>
      <c r="H31" s="1459">
        <f t="shared" si="2"/>
        <v>154324.90487647726</v>
      </c>
      <c r="I31" s="1460">
        <f t="shared" si="3"/>
        <v>8.0614527573687422E-2</v>
      </c>
      <c r="J31" s="1461">
        <f t="shared" si="4"/>
        <v>0.61641871123430558</v>
      </c>
      <c r="K31" s="1462"/>
    </row>
    <row r="32" spans="3:11" ht="30" customHeight="1" x14ac:dyDescent="0.25">
      <c r="C32" s="1463" t="s">
        <v>207</v>
      </c>
      <c r="D32" s="1464" t="str">
        <f>'PLANILHA ORÇAMENTÁRIA'!C61</f>
        <v>Corpo de BDTC D= 0,80m - Fornecimento e assentamento</v>
      </c>
      <c r="E32" s="1457" t="s">
        <v>12</v>
      </c>
      <c r="F32" s="1491">
        <f>'PLANILHA ORÇAMENTÁRIA'!E61</f>
        <v>104</v>
      </c>
      <c r="G32" s="1458">
        <f>'PLANILHA ORÇAMENTÁRIA'!J61</f>
        <v>1080.68</v>
      </c>
      <c r="H32" s="1459">
        <f t="shared" si="2"/>
        <v>112390.72</v>
      </c>
      <c r="I32" s="1460">
        <f t="shared" si="3"/>
        <v>5.8709414424836549E-2</v>
      </c>
      <c r="J32" s="1461">
        <f t="shared" si="4"/>
        <v>0.67512812565914215</v>
      </c>
      <c r="K32" s="1462"/>
    </row>
    <row r="33" spans="3:11" ht="30" customHeight="1" thickBot="1" x14ac:dyDescent="0.3">
      <c r="C33" s="1465" t="s">
        <v>8</v>
      </c>
      <c r="D33" s="1466" t="str">
        <f>'PLANILHA ORÇAMENTÁRIA'!C48</f>
        <v>Administração Local</v>
      </c>
      <c r="E33" s="1467" t="s">
        <v>6</v>
      </c>
      <c r="F33" s="1492">
        <f>'PLANILHA ORÇAMENTÁRIA'!E48</f>
        <v>5</v>
      </c>
      <c r="G33" s="1458">
        <f>'PLANILHA ORÇAMENTÁRIA'!J48</f>
        <v>43434.62</v>
      </c>
      <c r="H33" s="1459">
        <f t="shared" si="2"/>
        <v>217173.1</v>
      </c>
      <c r="I33" s="1460">
        <f t="shared" si="3"/>
        <v>0.11344446881225133</v>
      </c>
      <c r="J33" s="1461">
        <f t="shared" si="4"/>
        <v>0.7885725944713935</v>
      </c>
      <c r="K33" s="1462"/>
    </row>
    <row r="34" spans="3:11" ht="30" customHeight="1" x14ac:dyDescent="0.25">
      <c r="C34" s="1469" t="s">
        <v>804</v>
      </c>
      <c r="D34" s="1464" t="str">
        <f>'PLANILHA ORÇAMENTÁRIA'!C70</f>
        <v>Boca de BDTC D= 0,60m</v>
      </c>
      <c r="E34" s="1470" t="s">
        <v>470</v>
      </c>
      <c r="F34" s="1491">
        <f>'PLANILHA ORÇAMENTÁRIA'!E70</f>
        <v>20</v>
      </c>
      <c r="G34" s="1458">
        <f>'PLANILHA ORÇAMENTÁRIA'!J70</f>
        <v>839.84</v>
      </c>
      <c r="H34" s="1459">
        <f t="shared" si="2"/>
        <v>16796.8</v>
      </c>
      <c r="I34" s="1460">
        <f t="shared" si="3"/>
        <v>8.774125588047613E-3</v>
      </c>
      <c r="J34" s="1461">
        <f t="shared" si="4"/>
        <v>0.79734672005944107</v>
      </c>
      <c r="K34" s="1454" t="s">
        <v>126</v>
      </c>
    </row>
    <row r="35" spans="3:11" ht="30" customHeight="1" x14ac:dyDescent="0.25">
      <c r="C35" s="1463" t="s">
        <v>798</v>
      </c>
      <c r="D35" s="1464" t="str">
        <f>'PLANILHA ORÇAMENTÁRIA'!C64</f>
        <v xml:space="preserve"> Boca de BQTC D= 1,00m</v>
      </c>
      <c r="E35" s="1457" t="s">
        <v>470</v>
      </c>
      <c r="F35" s="1491">
        <f>'PLANILHA ORÇAMENTÁRIA'!E64</f>
        <v>6</v>
      </c>
      <c r="G35" s="1458">
        <f>'PLANILHA ORÇAMENTÁRIA'!J64</f>
        <v>3739.53</v>
      </c>
      <c r="H35" s="1471">
        <f t="shared" si="2"/>
        <v>22437.18</v>
      </c>
      <c r="I35" s="1460">
        <f t="shared" si="3"/>
        <v>1.172048456620488E-2</v>
      </c>
      <c r="J35" s="1461">
        <f t="shared" si="4"/>
        <v>0.80906720462564596</v>
      </c>
      <c r="K35" s="1462"/>
    </row>
    <row r="36" spans="3:11" ht="30" customHeight="1" x14ac:dyDescent="0.25">
      <c r="C36" s="1463" t="s">
        <v>19</v>
      </c>
      <c r="D36" s="1464" t="str">
        <f>'PLANILHA ORÇAMENTÁRIA'!C57</f>
        <v>Corpo de BQTC D= 1,00m - Fornecimento e assentamento</v>
      </c>
      <c r="E36" s="1457" t="s">
        <v>12</v>
      </c>
      <c r="F36" s="1491">
        <f>'PLANILHA ORÇAMENTÁRIA'!E57</f>
        <v>24</v>
      </c>
      <c r="G36" s="1458">
        <f>'PLANILHA ORÇAMENTÁRIA'!J57</f>
        <v>2995.65</v>
      </c>
      <c r="H36" s="1459">
        <f t="shared" si="2"/>
        <v>71895.600000000006</v>
      </c>
      <c r="I36" s="1460">
        <f t="shared" si="3"/>
        <v>3.755602398242737E-2</v>
      </c>
      <c r="J36" s="1461">
        <f t="shared" si="4"/>
        <v>0.84662322860807337</v>
      </c>
      <c r="K36" s="1462"/>
    </row>
    <row r="37" spans="3:11" ht="30" customHeight="1" x14ac:dyDescent="0.25">
      <c r="C37" s="1463" t="s">
        <v>482</v>
      </c>
      <c r="D37" s="1464" t="str">
        <f>'PLANILHA ORÇAMENTÁRIA'!C63</f>
        <v>Corpo de BDTC D= 0,60m - Fornecimento e assentamento</v>
      </c>
      <c r="E37" s="1457" t="s">
        <v>12</v>
      </c>
      <c r="F37" s="1491">
        <f>'PLANILHA ORÇAMENTÁRIA'!E63</f>
        <v>80</v>
      </c>
      <c r="G37" s="1458">
        <f>'PLANILHA ORÇAMENTÁRIA'!J63</f>
        <v>687.32</v>
      </c>
      <c r="H37" s="1459">
        <f t="shared" si="2"/>
        <v>54985.600000000006</v>
      </c>
      <c r="I37" s="1460">
        <f t="shared" si="3"/>
        <v>2.8722766237268459E-2</v>
      </c>
      <c r="J37" s="1461">
        <f t="shared" si="4"/>
        <v>0.87534599484534181</v>
      </c>
      <c r="K37" s="1462"/>
    </row>
    <row r="38" spans="3:11" ht="30" customHeight="1" x14ac:dyDescent="0.25">
      <c r="C38" s="1463" t="s">
        <v>799</v>
      </c>
      <c r="D38" s="1464" t="str">
        <f>'PLANILHA ORÇAMENTÁRIA'!C65</f>
        <v>Boca de BTTC D= 1,00m</v>
      </c>
      <c r="E38" s="1457" t="s">
        <v>470</v>
      </c>
      <c r="F38" s="1491">
        <f>'PLANILHA ORÇAMENTÁRIA'!E65</f>
        <v>6</v>
      </c>
      <c r="G38" s="1458">
        <f>'PLANILHA ORÇAMENTÁRIA'!J65</f>
        <v>2553.4</v>
      </c>
      <c r="H38" s="1471">
        <f t="shared" si="2"/>
        <v>15320.400000000001</v>
      </c>
      <c r="I38" s="1460">
        <f t="shared" si="3"/>
        <v>8.002900174981226E-3</v>
      </c>
      <c r="J38" s="1461">
        <f t="shared" si="4"/>
        <v>0.88334889502032299</v>
      </c>
      <c r="K38" s="1462"/>
    </row>
    <row r="39" spans="3:11" ht="30" customHeight="1" thickBot="1" x14ac:dyDescent="0.3">
      <c r="C39" s="1463" t="s">
        <v>13</v>
      </c>
      <c r="D39" s="1464" t="str">
        <f>'PLANILHA ORÇAMENTÁRIA'!C58</f>
        <v>Corpo de BTTC D= 1,00m - Fornecimento e assentamento</v>
      </c>
      <c r="E39" s="1457" t="s">
        <v>12</v>
      </c>
      <c r="F39" s="1491">
        <f>'PLANILHA ORÇAMENTÁRIA'!E58</f>
        <v>24</v>
      </c>
      <c r="G39" s="1458">
        <f>'PLANILHA ORÇAMENTÁRIA'!J58</f>
        <v>2323.98</v>
      </c>
      <c r="H39" s="1471">
        <f t="shared" si="2"/>
        <v>55775.520000000004</v>
      </c>
      <c r="I39" s="1460">
        <f t="shared" si="3"/>
        <v>2.9135395862227412E-2</v>
      </c>
      <c r="J39" s="1461">
        <f t="shared" si="4"/>
        <v>0.91248429088255045</v>
      </c>
      <c r="K39" s="1472"/>
    </row>
    <row r="40" spans="3:11" ht="30" customHeight="1" x14ac:dyDescent="0.25">
      <c r="C40" s="1455" t="s">
        <v>14</v>
      </c>
      <c r="D40" s="1464" t="str">
        <f>'PLANILHA ORÇAMENTÁRIA'!C73</f>
        <v>Ponte de Madeira ( 6,00 x 5,00 m )</v>
      </c>
      <c r="E40" s="1457" t="s">
        <v>12</v>
      </c>
      <c r="F40" s="1491">
        <f>'PLANILHA ORÇAMENTÁRIA'!E73</f>
        <v>34.32</v>
      </c>
      <c r="G40" s="1458">
        <f>'PLANILHA ORÇAMENTÁRIA'!J73</f>
        <v>1381.76</v>
      </c>
      <c r="H40" s="1459">
        <f t="shared" si="2"/>
        <v>47422.003199999999</v>
      </c>
      <c r="I40" s="1460">
        <f t="shared" si="3"/>
        <v>2.4771778655076904E-2</v>
      </c>
      <c r="J40" s="1461">
        <f t="shared" si="4"/>
        <v>0.9372560695376273</v>
      </c>
      <c r="K40" s="1462" t="s">
        <v>51</v>
      </c>
    </row>
    <row r="41" spans="3:11" ht="30" customHeight="1" x14ac:dyDescent="0.25">
      <c r="C41" s="1455" t="s">
        <v>9</v>
      </c>
      <c r="D41" s="1456" t="str">
        <f>'PLANILHA ORÇAMENTÁRIA'!C51</f>
        <v>DESMATAMENTO E LIMPEZA MECANIZADA DE TERRENO COM REMOCAO DE CAMADA VEGETAL, UTILIZANDO TRATOR DE ESTEIRAS</v>
      </c>
      <c r="E41" s="1473" t="s">
        <v>6</v>
      </c>
      <c r="F41" s="1491">
        <f>'PLANILHA ORÇAMENTÁRIA'!E51</f>
        <v>108841.2</v>
      </c>
      <c r="G41" s="1458">
        <f>'PLANILHA ORÇAMENTÁRIA'!J51</f>
        <v>0.3</v>
      </c>
      <c r="H41" s="1459">
        <f t="shared" si="2"/>
        <v>32652.359999999997</v>
      </c>
      <c r="I41" s="1460">
        <f t="shared" si="3"/>
        <v>1.7056576692354636E-2</v>
      </c>
      <c r="J41" s="1461">
        <f t="shared" si="4"/>
        <v>0.95431264622998191</v>
      </c>
      <c r="K41" s="1462"/>
    </row>
    <row r="42" spans="3:11" ht="30" customHeight="1" x14ac:dyDescent="0.25">
      <c r="C42" s="1455" t="s">
        <v>15</v>
      </c>
      <c r="D42" s="1474" t="s">
        <v>870</v>
      </c>
      <c r="E42" s="1457" t="s">
        <v>6</v>
      </c>
      <c r="F42" s="1491">
        <f>'PLANILHA ORÇAMENTÁRIA'!E74</f>
        <v>72</v>
      </c>
      <c r="G42" s="1458">
        <f>'PLANILHA ORÇAMENTÁRIA'!J74</f>
        <v>401.18</v>
      </c>
      <c r="H42" s="1475">
        <f t="shared" si="2"/>
        <v>28884.959999999999</v>
      </c>
      <c r="I42" s="1460">
        <f t="shared" si="3"/>
        <v>1.5088604177327334E-2</v>
      </c>
      <c r="J42" s="1461">
        <f t="shared" si="4"/>
        <v>0.96940125040730929</v>
      </c>
      <c r="K42" s="1462"/>
    </row>
    <row r="43" spans="3:11" ht="30" customHeight="1" x14ac:dyDescent="0.25">
      <c r="C43" s="1463" t="s">
        <v>803</v>
      </c>
      <c r="D43" s="1464" t="str">
        <f>'PLANILHA ORÇAMENTÁRIA'!C69</f>
        <v>Boca de BSTC D= 0,80m</v>
      </c>
      <c r="E43" s="1457" t="s">
        <v>470</v>
      </c>
      <c r="F43" s="1491">
        <f>'PLANILHA ORÇAMENTÁRIA'!E69</f>
        <v>4</v>
      </c>
      <c r="G43" s="1458">
        <f>'PLANILHA ORÇAMENTÁRIA'!J69</f>
        <v>1165.08</v>
      </c>
      <c r="H43" s="1459">
        <f t="shared" si="2"/>
        <v>4660.32</v>
      </c>
      <c r="I43" s="1460">
        <f t="shared" si="3"/>
        <v>2.4344061345309849E-3</v>
      </c>
      <c r="J43" s="1461">
        <f t="shared" si="4"/>
        <v>0.97183565654184023</v>
      </c>
      <c r="K43" s="1462"/>
    </row>
    <row r="44" spans="3:11" ht="30" customHeight="1" x14ac:dyDescent="0.25">
      <c r="C44" s="1463" t="s">
        <v>800</v>
      </c>
      <c r="D44" s="1464" t="str">
        <f>'PLANILHA ORÇAMENTÁRIA'!C66</f>
        <v>Boca de BDTC D= 1,00m</v>
      </c>
      <c r="E44" s="1457" t="s">
        <v>470</v>
      </c>
      <c r="F44" s="1491">
        <f>'PLANILHA ORÇAMENTÁRIA'!E66</f>
        <v>2</v>
      </c>
      <c r="G44" s="1458">
        <f>'PLANILHA ORÇAMENTÁRIA'!J66</f>
        <v>2086.79</v>
      </c>
      <c r="H44" s="1471">
        <f t="shared" si="2"/>
        <v>4173.58</v>
      </c>
      <c r="I44" s="1460">
        <f t="shared" si="3"/>
        <v>2.1801483063300007E-3</v>
      </c>
      <c r="J44" s="1461">
        <f t="shared" si="4"/>
        <v>0.97401580484817019</v>
      </c>
      <c r="K44" s="1462"/>
    </row>
    <row r="45" spans="3:11" ht="30" customHeight="1" x14ac:dyDescent="0.25">
      <c r="C45" s="1463" t="s">
        <v>801</v>
      </c>
      <c r="D45" s="1464" t="str">
        <f>'PLANILHA ORÇAMENTÁRIA'!C67</f>
        <v>Boca de BSTC D= 1,00m</v>
      </c>
      <c r="E45" s="1457" t="s">
        <v>470</v>
      </c>
      <c r="F45" s="1491">
        <f>'PLANILHA ORÇAMENTÁRIA'!E67</f>
        <v>2</v>
      </c>
      <c r="G45" s="1458">
        <f>'PLANILHA ORÇAMENTÁRIA'!J67</f>
        <v>1739.03</v>
      </c>
      <c r="H45" s="1471">
        <f t="shared" si="2"/>
        <v>3478.06</v>
      </c>
      <c r="I45" s="1460">
        <f t="shared" si="3"/>
        <v>1.8168303035557296E-3</v>
      </c>
      <c r="J45" s="1461">
        <f t="shared" si="4"/>
        <v>0.97583263515172591</v>
      </c>
      <c r="K45" s="1462"/>
    </row>
    <row r="46" spans="3:11" ht="30" customHeight="1" x14ac:dyDescent="0.25">
      <c r="C46" s="1463" t="s">
        <v>205</v>
      </c>
      <c r="D46" s="1464" t="str">
        <f>'PLANILHA ORÇAMENTÁRIA'!C59</f>
        <v>Corpo de BDTC D= 1,00m - Fornecimento e assentamento</v>
      </c>
      <c r="E46" s="1457" t="s">
        <v>12</v>
      </c>
      <c r="F46" s="1491">
        <f>'PLANILHA ORÇAMENTÁRIA'!E59</f>
        <v>8</v>
      </c>
      <c r="G46" s="1458">
        <f>'PLANILHA ORÇAMENTÁRIA'!J59</f>
        <v>1567.34</v>
      </c>
      <c r="H46" s="1471">
        <f t="shared" si="2"/>
        <v>12538.72</v>
      </c>
      <c r="I46" s="1460">
        <f t="shared" si="3"/>
        <v>6.5498371114357705E-3</v>
      </c>
      <c r="J46" s="1461">
        <f t="shared" si="4"/>
        <v>0.98238247226316167</v>
      </c>
      <c r="K46" s="1462"/>
    </row>
    <row r="47" spans="3:11" ht="30" customHeight="1" x14ac:dyDescent="0.25">
      <c r="C47" s="1463" t="s">
        <v>481</v>
      </c>
      <c r="D47" s="1464" t="str">
        <f>'PLANILHA ORÇAMENTÁRIA'!C62</f>
        <v>Corpo de BSTC D= 0,80m - Fornecimento e assentamento</v>
      </c>
      <c r="E47" s="1457" t="s">
        <v>12</v>
      </c>
      <c r="F47" s="1491">
        <f>'PLANILHA ORÇAMENTÁRIA'!E62</f>
        <v>16</v>
      </c>
      <c r="G47" s="1458">
        <f>'PLANILHA ORÇAMENTÁRIA'!J62</f>
        <v>566.87</v>
      </c>
      <c r="H47" s="1471">
        <f>G47*F47</f>
        <v>9069.92</v>
      </c>
      <c r="I47" s="1460">
        <f t="shared" si="3"/>
        <v>4.7378439437002762E-3</v>
      </c>
      <c r="J47" s="1461">
        <f t="shared" si="4"/>
        <v>0.98712031620686191</v>
      </c>
      <c r="K47" s="1462"/>
    </row>
    <row r="48" spans="3:11" ht="30" customHeight="1" x14ac:dyDescent="0.25">
      <c r="C48" s="1455" t="s">
        <v>909</v>
      </c>
      <c r="D48" s="1466" t="str">
        <f>'PLANILHA ORÇAMENTÁRIA'!C77</f>
        <v>Desmobilização de Equipamentos</v>
      </c>
      <c r="E48" s="1458" t="s">
        <v>470</v>
      </c>
      <c r="F48" s="1492">
        <f>'PLANILHA ORÇAMENTÁRIA'!E77</f>
        <v>1</v>
      </c>
      <c r="G48" s="1458">
        <f>'PLANILHA ORÇAMENTÁRIA'!J77</f>
        <v>7958.88</v>
      </c>
      <c r="H48" s="1471">
        <f>F48*G48</f>
        <v>7958.88</v>
      </c>
      <c r="I48" s="1460">
        <f t="shared" si="3"/>
        <v>4.1574712242927452E-3</v>
      </c>
      <c r="J48" s="1461">
        <f t="shared" si="4"/>
        <v>0.99127778743115469</v>
      </c>
      <c r="K48" s="1462"/>
    </row>
    <row r="49" spans="3:11" ht="30" customHeight="1" x14ac:dyDescent="0.25">
      <c r="C49" s="1455" t="s">
        <v>7</v>
      </c>
      <c r="D49" s="1466" t="str">
        <f>'PLANILHA ORÇAMENTÁRIA'!C47</f>
        <v>Mobilização de Equpamentos</v>
      </c>
      <c r="E49" s="1476" t="s">
        <v>470</v>
      </c>
      <c r="F49" s="1492">
        <f>'PLANILHA ORÇAMENTÁRIA'!E47</f>
        <v>1</v>
      </c>
      <c r="G49" s="1458">
        <f>'PLANILHA ORÇAMENTÁRIA'!J47</f>
        <v>7958.88</v>
      </c>
      <c r="H49" s="1471">
        <f>F49*G49</f>
        <v>7958.88</v>
      </c>
      <c r="I49" s="1460">
        <f t="shared" si="3"/>
        <v>4.1574712242927452E-3</v>
      </c>
      <c r="J49" s="1461">
        <f t="shared" si="4"/>
        <v>0.99543525865544746</v>
      </c>
      <c r="K49" s="1462"/>
    </row>
    <row r="50" spans="3:11" ht="30" customHeight="1" x14ac:dyDescent="0.25">
      <c r="C50" s="1463" t="s">
        <v>206</v>
      </c>
      <c r="D50" s="1464" t="str">
        <f>'PLANILHA ORÇAMENTÁRIA'!C60</f>
        <v>Corpo de BSTC D= 1,00m - Fornecimento e assentamneto</v>
      </c>
      <c r="E50" s="1457" t="s">
        <v>12</v>
      </c>
      <c r="F50" s="1491">
        <f>'PLANILHA ORÇAMENTÁRIA'!E60</f>
        <v>8</v>
      </c>
      <c r="G50" s="1458">
        <f>'PLANILHA ORÇAMENTÁRIA'!J60</f>
        <v>810.7</v>
      </c>
      <c r="H50" s="1471">
        <f>F50*G50</f>
        <v>6485.6</v>
      </c>
      <c r="I50" s="1460">
        <f t="shared" si="3"/>
        <v>3.3878756021290721E-3</v>
      </c>
      <c r="J50" s="1461">
        <f t="shared" si="4"/>
        <v>0.99882313425757652</v>
      </c>
      <c r="K50" s="1462"/>
    </row>
    <row r="51" spans="3:11" ht="30" customHeight="1" thickBot="1" x14ac:dyDescent="0.3">
      <c r="C51" s="1455" t="s">
        <v>5</v>
      </c>
      <c r="D51" s="1466" t="str">
        <f>'PLANILHA ORÇAMENTÁRIA'!C46</f>
        <v>PLACA DE OBRA EM CHAPA DE ACO GALVANIZADO</v>
      </c>
      <c r="E51" s="1476" t="s">
        <v>6</v>
      </c>
      <c r="F51" s="1492">
        <f>'PLANILHA ORÇAMENTÁRIA'!E46</f>
        <v>6</v>
      </c>
      <c r="G51" s="1458">
        <f>'PLANILHA ORÇAMENTÁRIA'!J46</f>
        <v>375.49</v>
      </c>
      <c r="H51" s="1471">
        <f>F51*G51</f>
        <v>2252.94</v>
      </c>
      <c r="I51" s="1460">
        <f t="shared" si="3"/>
        <v>1.1768657424233182E-3</v>
      </c>
      <c r="J51" s="1461">
        <f t="shared" si="4"/>
        <v>0.99999999999999989</v>
      </c>
      <c r="K51" s="1472"/>
    </row>
    <row r="52" spans="3:11" s="618" customFormat="1" ht="30" customHeight="1" thickBot="1" x14ac:dyDescent="0.3">
      <c r="C52" s="1455"/>
      <c r="D52" s="1477"/>
      <c r="E52" s="1476"/>
      <c r="F52" s="1468"/>
      <c r="G52" s="1458"/>
      <c r="H52" s="1478"/>
      <c r="I52" s="1460"/>
      <c r="J52" s="1461"/>
      <c r="K52" s="1479"/>
    </row>
    <row r="53" spans="3:11" ht="30" customHeight="1" x14ac:dyDescent="0.25">
      <c r="C53" s="1480"/>
      <c r="D53" s="1481"/>
      <c r="E53" s="1481"/>
      <c r="F53" s="1481"/>
      <c r="G53" s="1481"/>
      <c r="H53" s="1481"/>
      <c r="I53" s="1482"/>
      <c r="J53" s="1483">
        <f>SUM(H28:H51)</f>
        <v>1914356.0040764774</v>
      </c>
      <c r="K53" s="1484"/>
    </row>
    <row r="54" spans="3:11" ht="30" customHeight="1" thickBot="1" x14ac:dyDescent="0.3">
      <c r="C54" s="1485"/>
      <c r="D54" s="1486"/>
      <c r="E54" s="1486"/>
      <c r="F54" s="1486"/>
      <c r="G54" s="1486"/>
      <c r="H54" s="1486"/>
      <c r="I54" s="1487"/>
      <c r="J54" s="1488"/>
      <c r="K54" s="1489"/>
    </row>
  </sheetData>
  <sheetProtection algorithmName="SHA-512" hashValue="PijHgUG0TTzMw8fdT7J2q17Bk5wBHxEXME9rnTVgZyje+p7i2ho3U+pn8SapZMa2u82i/47DZlgTc6PzBsK/Rg==" saltValue="5cNVpFOiIYAEYltGYOrntw==" spinCount="100000" sheet="1" objects="1" scenarios="1"/>
  <sortState xmlns:xlrd2="http://schemas.microsoft.com/office/spreadsheetml/2017/richdata2" ref="C29:K51">
    <sortCondition descending="1" ref="H29:H51"/>
  </sortState>
  <mergeCells count="33">
    <mergeCell ref="C22:K24"/>
    <mergeCell ref="F12:J12"/>
    <mergeCell ref="F13:J13"/>
    <mergeCell ref="F14:J14"/>
    <mergeCell ref="C16:K16"/>
    <mergeCell ref="C17:K17"/>
    <mergeCell ref="C18:K18"/>
    <mergeCell ref="C19:K19"/>
    <mergeCell ref="C20:K20"/>
    <mergeCell ref="E9:G9"/>
    <mergeCell ref="H9:K9"/>
    <mergeCell ref="E10:G10"/>
    <mergeCell ref="H10:K10"/>
    <mergeCell ref="C2:D15"/>
    <mergeCell ref="E2:K3"/>
    <mergeCell ref="E4:K4"/>
    <mergeCell ref="E5:K6"/>
    <mergeCell ref="E8:G8"/>
    <mergeCell ref="H8:K8"/>
    <mergeCell ref="C53:I54"/>
    <mergeCell ref="J53:K54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  <mergeCell ref="K34:K39"/>
    <mergeCell ref="K28:K33"/>
    <mergeCell ref="K40:K51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38" orientation="landscape" horizontalDpi="360" verticalDpi="360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99"/>
  <sheetViews>
    <sheetView tabSelected="1" view="pageBreakPreview" topLeftCell="A33" zoomScale="55" zoomScaleNormal="55" zoomScaleSheetLayoutView="55" zoomScalePageLayoutView="55" workbookViewId="0">
      <selection activeCell="E53" sqref="E53"/>
    </sheetView>
  </sheetViews>
  <sheetFormatPr defaultColWidth="9.140625" defaultRowHeight="15.75" x14ac:dyDescent="0.25"/>
  <cols>
    <col min="1" max="1" width="9.140625" style="6"/>
    <col min="2" max="2" width="9.140625" style="6" customWidth="1"/>
    <col min="3" max="3" width="126.140625" style="6" customWidth="1"/>
    <col min="4" max="4" width="11.42578125" style="6" customWidth="1"/>
    <col min="5" max="5" width="18" style="6" customWidth="1"/>
    <col min="6" max="6" width="8.5703125" style="6" bestFit="1" customWidth="1"/>
    <col min="7" max="7" width="24.42578125" style="6" customWidth="1"/>
    <col min="8" max="8" width="20.85546875" style="6" customWidth="1"/>
    <col min="9" max="9" width="22.28515625" style="6" customWidth="1"/>
    <col min="10" max="10" width="24.28515625" style="6" bestFit="1" customWidth="1"/>
    <col min="11" max="11" width="25.140625" style="6" customWidth="1"/>
    <col min="12" max="12" width="24.7109375" style="6" customWidth="1"/>
    <col min="13" max="13" width="17.85546875" style="6" customWidth="1"/>
    <col min="14" max="14" width="12" style="6" customWidth="1"/>
    <col min="15" max="16384" width="9.140625" style="6"/>
  </cols>
  <sheetData>
    <row r="1" spans="2:12" hidden="1" x14ac:dyDescent="0.25"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</row>
    <row r="2" spans="2:12" hidden="1" x14ac:dyDescent="0.25"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</row>
    <row r="3" spans="2:12" x14ac:dyDescent="0.25"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</row>
    <row r="4" spans="2:12" x14ac:dyDescent="0.25">
      <c r="B4" s="611"/>
      <c r="C4" s="611"/>
      <c r="D4" s="611"/>
      <c r="E4" s="611"/>
      <c r="F4" s="611"/>
      <c r="G4" s="611"/>
      <c r="H4" s="611"/>
      <c r="I4" s="611"/>
      <c r="J4" s="611"/>
      <c r="K4" s="611"/>
      <c r="L4" s="611"/>
    </row>
    <row r="5" spans="2:12" ht="16.5" thickBot="1" x14ac:dyDescent="0.3"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</row>
    <row r="6" spans="2:12" x14ac:dyDescent="0.25">
      <c r="B6" s="1038" t="s">
        <v>723</v>
      </c>
      <c r="C6" s="1039"/>
      <c r="D6" s="1040" t="s">
        <v>872</v>
      </c>
      <c r="E6" s="1040"/>
      <c r="F6" s="1040"/>
      <c r="G6" s="1040"/>
      <c r="H6" s="1040"/>
      <c r="I6" s="1040"/>
      <c r="J6" s="1040"/>
      <c r="K6" s="1040"/>
      <c r="L6" s="1041"/>
    </row>
    <row r="7" spans="2:12" ht="15.75" customHeight="1" x14ac:dyDescent="0.25">
      <c r="B7" s="1042"/>
      <c r="C7" s="1043"/>
      <c r="D7" s="1044"/>
      <c r="E7" s="1044"/>
      <c r="F7" s="1044"/>
      <c r="G7" s="1044"/>
      <c r="H7" s="1044"/>
      <c r="I7" s="1044"/>
      <c r="J7" s="1044"/>
      <c r="K7" s="1044"/>
      <c r="L7" s="1045"/>
    </row>
    <row r="8" spans="2:12" ht="27" customHeight="1" x14ac:dyDescent="0.25">
      <c r="B8" s="1042"/>
      <c r="C8" s="1043"/>
      <c r="D8" s="1046" t="s">
        <v>874</v>
      </c>
      <c r="E8" s="1046"/>
      <c r="F8" s="1046"/>
      <c r="G8" s="1046"/>
      <c r="H8" s="1046"/>
      <c r="I8" s="1046"/>
      <c r="J8" s="1046"/>
      <c r="K8" s="1046"/>
      <c r="L8" s="1047"/>
    </row>
    <row r="9" spans="2:12" x14ac:dyDescent="0.25">
      <c r="B9" s="1042"/>
      <c r="C9" s="1043"/>
      <c r="D9" s="1048" t="s">
        <v>946</v>
      </c>
      <c r="E9" s="1048"/>
      <c r="F9" s="1048"/>
      <c r="G9" s="1048"/>
      <c r="H9" s="1048"/>
      <c r="I9" s="1048"/>
      <c r="J9" s="1048"/>
      <c r="K9" s="1048"/>
      <c r="L9" s="1049"/>
    </row>
    <row r="10" spans="2:12" ht="19.5" customHeight="1" x14ac:dyDescent="0.25">
      <c r="B10" s="1042"/>
      <c r="C10" s="1043"/>
      <c r="D10" s="1048"/>
      <c r="E10" s="1048"/>
      <c r="F10" s="1048"/>
      <c r="G10" s="1048"/>
      <c r="H10" s="1048"/>
      <c r="I10" s="1048"/>
      <c r="J10" s="1048"/>
      <c r="K10" s="1048"/>
      <c r="L10" s="1049"/>
    </row>
    <row r="11" spans="2:12" ht="14.25" customHeight="1" x14ac:dyDescent="0.25">
      <c r="B11" s="1042"/>
      <c r="C11" s="1043"/>
      <c r="D11" s="1050"/>
      <c r="E11" s="1050"/>
      <c r="F11" s="1051"/>
      <c r="G11" s="1052"/>
      <c r="H11" s="1050"/>
      <c r="I11" s="1050"/>
      <c r="J11" s="1051"/>
      <c r="K11" s="1052"/>
      <c r="L11" s="1053"/>
    </row>
    <row r="12" spans="2:12" ht="14.25" customHeight="1" x14ac:dyDescent="0.25">
      <c r="B12" s="1042"/>
      <c r="C12" s="1043"/>
      <c r="D12" s="1054"/>
      <c r="E12" s="1054"/>
      <c r="F12" s="1055"/>
      <c r="G12" s="1056"/>
      <c r="H12" s="1054"/>
      <c r="I12" s="1054"/>
      <c r="J12" s="1055"/>
      <c r="K12" s="1056"/>
      <c r="L12" s="1057"/>
    </row>
    <row r="13" spans="2:12" ht="14.25" customHeight="1" x14ac:dyDescent="0.25">
      <c r="B13" s="1042"/>
      <c r="C13" s="1043"/>
      <c r="D13" s="1058"/>
      <c r="E13" s="1058"/>
      <c r="F13" s="1059"/>
      <c r="G13" s="1060"/>
      <c r="H13" s="1058"/>
      <c r="I13" s="1058"/>
      <c r="J13" s="1059"/>
      <c r="K13" s="1060"/>
      <c r="L13" s="1061"/>
    </row>
    <row r="14" spans="2:12" ht="14.25" customHeight="1" x14ac:dyDescent="0.25">
      <c r="B14" s="1042"/>
      <c r="C14" s="1043"/>
      <c r="D14" s="1062"/>
      <c r="E14" s="1062"/>
      <c r="F14" s="1063"/>
      <c r="G14" s="1064"/>
      <c r="H14" s="1062"/>
      <c r="I14" s="1062"/>
      <c r="J14" s="1063"/>
      <c r="K14" s="1064"/>
      <c r="L14" s="1065"/>
    </row>
    <row r="15" spans="2:12" ht="14.25" customHeight="1" x14ac:dyDescent="0.25">
      <c r="B15" s="1042"/>
      <c r="C15" s="1043"/>
      <c r="D15" s="1066"/>
      <c r="E15" s="1067"/>
      <c r="F15" s="1067"/>
      <c r="G15" s="1067"/>
      <c r="H15" s="1067"/>
      <c r="I15" s="1067"/>
      <c r="J15" s="1067"/>
      <c r="K15" s="1067"/>
      <c r="L15" s="1068"/>
    </row>
    <row r="16" spans="2:12" ht="14.25" customHeight="1" x14ac:dyDescent="0.25">
      <c r="B16" s="1042"/>
      <c r="C16" s="1043"/>
      <c r="D16" s="1069"/>
      <c r="E16" s="1070" t="str">
        <f>'CURVA ABC'!F12</f>
        <v>BDI=</v>
      </c>
      <c r="F16" s="1070"/>
      <c r="G16" s="1070"/>
      <c r="H16" s="1070"/>
      <c r="I16" s="1070"/>
      <c r="J16" s="1070"/>
      <c r="K16" s="1070"/>
      <c r="L16" s="1071">
        <v>0.26</v>
      </c>
    </row>
    <row r="17" spans="2:14" ht="14.25" customHeight="1" x14ac:dyDescent="0.25">
      <c r="B17" s="1042"/>
      <c r="C17" s="1043"/>
      <c r="D17" s="1069"/>
      <c r="E17" s="1070" t="str">
        <f>'CURVA ABC'!F13</f>
        <v>ENC. SOCIAIS DESONERADO - HORA =</v>
      </c>
      <c r="F17" s="1070"/>
      <c r="G17" s="1070"/>
      <c r="H17" s="1070"/>
      <c r="I17" s="1070"/>
      <c r="J17" s="1070"/>
      <c r="K17" s="1070"/>
      <c r="L17" s="1071">
        <v>0.85680000000000001</v>
      </c>
    </row>
    <row r="18" spans="2:14" ht="14.25" customHeight="1" x14ac:dyDescent="0.25">
      <c r="B18" s="1042"/>
      <c r="C18" s="1043"/>
      <c r="D18" s="1069"/>
      <c r="E18" s="1070" t="str">
        <f>'CURVA ABC'!F14</f>
        <v>ENC. SOCIAIS DESONERADO - MÊS =</v>
      </c>
      <c r="F18" s="1070"/>
      <c r="G18" s="1070"/>
      <c r="H18" s="1070"/>
      <c r="I18" s="1070"/>
      <c r="J18" s="1070"/>
      <c r="K18" s="1070"/>
      <c r="L18" s="1071">
        <v>0.49330000000000002</v>
      </c>
    </row>
    <row r="19" spans="2:14" ht="14.25" customHeight="1" thickBot="1" x14ac:dyDescent="0.3">
      <c r="B19" s="1072"/>
      <c r="C19" s="1073"/>
      <c r="D19" s="1074"/>
      <c r="E19" s="1074"/>
      <c r="F19" s="1074"/>
      <c r="G19" s="1074"/>
      <c r="H19" s="1074"/>
      <c r="I19" s="1074"/>
      <c r="J19" s="1074"/>
      <c r="K19" s="1075"/>
      <c r="L19" s="1076"/>
    </row>
    <row r="20" spans="2:14" ht="14.25" customHeight="1" x14ac:dyDescent="0.25">
      <c r="B20" s="1077"/>
      <c r="C20" s="1078"/>
      <c r="D20" s="1079"/>
      <c r="E20" s="1079"/>
      <c r="F20" s="1079"/>
      <c r="G20" s="1079"/>
      <c r="H20" s="1079"/>
      <c r="I20" s="1079"/>
      <c r="J20" s="1079"/>
      <c r="K20" s="1079"/>
      <c r="L20" s="1080"/>
    </row>
    <row r="21" spans="2:14" ht="15" customHeight="1" x14ac:dyDescent="0.25">
      <c r="B21" s="1081" t="s">
        <v>873</v>
      </c>
      <c r="C21" s="1046"/>
      <c r="D21" s="1046"/>
      <c r="E21" s="1046"/>
      <c r="F21" s="1046"/>
      <c r="G21" s="1046"/>
      <c r="H21" s="1046"/>
      <c r="I21" s="1046"/>
      <c r="J21" s="1046"/>
      <c r="K21" s="1046"/>
      <c r="L21" s="1047"/>
    </row>
    <row r="22" spans="2:14" ht="15" customHeight="1" x14ac:dyDescent="0.25">
      <c r="B22" s="1082" t="s">
        <v>736</v>
      </c>
      <c r="C22" s="1083"/>
      <c r="D22" s="1083"/>
      <c r="E22" s="1083"/>
      <c r="F22" s="1083"/>
      <c r="G22" s="1083"/>
      <c r="H22" s="1083"/>
      <c r="I22" s="1083"/>
      <c r="J22" s="1083"/>
      <c r="K22" s="1083"/>
      <c r="L22" s="1084"/>
    </row>
    <row r="23" spans="2:14" ht="15" customHeight="1" x14ac:dyDescent="0.25">
      <c r="B23" s="1082" t="s">
        <v>737</v>
      </c>
      <c r="C23" s="1083"/>
      <c r="D23" s="1083"/>
      <c r="E23" s="1083"/>
      <c r="F23" s="1083"/>
      <c r="G23" s="1083"/>
      <c r="H23" s="1083"/>
      <c r="I23" s="1083"/>
      <c r="J23" s="1083"/>
      <c r="K23" s="1083"/>
      <c r="L23" s="1084"/>
    </row>
    <row r="24" spans="2:14" ht="15" customHeight="1" thickBot="1" x14ac:dyDescent="0.3">
      <c r="B24" s="1085" t="s">
        <v>951</v>
      </c>
      <c r="C24" s="1086"/>
      <c r="D24" s="1086"/>
      <c r="E24" s="1086"/>
      <c r="F24" s="1086"/>
      <c r="G24" s="1086"/>
      <c r="H24" s="1086"/>
      <c r="I24" s="1086"/>
      <c r="J24" s="1086"/>
      <c r="K24" s="1086"/>
      <c r="L24" s="1087"/>
    </row>
    <row r="25" spans="2:14" ht="16.5" customHeight="1" thickBot="1" x14ac:dyDescent="0.35">
      <c r="B25" s="1088" t="s">
        <v>914</v>
      </c>
      <c r="C25" s="1089"/>
      <c r="D25" s="1089"/>
      <c r="E25" s="1089"/>
      <c r="F25" s="1089"/>
      <c r="G25" s="1090"/>
      <c r="H25" s="1090"/>
      <c r="I25" s="1090"/>
      <c r="J25" s="1091"/>
      <c r="K25" s="1091"/>
      <c r="L25" s="1092"/>
      <c r="M25" s="621"/>
      <c r="N25" s="622"/>
    </row>
    <row r="26" spans="2:14" ht="38.25" customHeight="1" x14ac:dyDescent="0.25">
      <c r="B26" s="1093"/>
      <c r="C26" s="1094" t="s">
        <v>915</v>
      </c>
      <c r="D26" s="1095" t="s">
        <v>916</v>
      </c>
      <c r="E26" s="1095"/>
      <c r="F26" s="1096"/>
      <c r="G26" s="1094" t="s">
        <v>917</v>
      </c>
      <c r="H26" s="1094"/>
      <c r="I26" s="1097" t="s">
        <v>42</v>
      </c>
      <c r="J26" s="1098"/>
      <c r="K26" s="1099"/>
      <c r="L26" s="1100"/>
      <c r="M26" s="623"/>
    </row>
    <row r="27" spans="2:14" ht="20.100000000000001" customHeight="1" x14ac:dyDescent="0.25">
      <c r="B27" s="1101"/>
      <c r="C27" s="1102" t="str">
        <f>'[1]PLANILHA ORÇAMENTÁRIA'!$E$5</f>
        <v>ESTRADA DE ACESSO AO LIBERATO</v>
      </c>
      <c r="D27" s="1103">
        <v>5622</v>
      </c>
      <c r="E27" s="1103"/>
      <c r="F27" s="1104" t="s">
        <v>527</v>
      </c>
      <c r="G27" s="1104">
        <v>6</v>
      </c>
      <c r="H27" s="1104" t="s">
        <v>506</v>
      </c>
      <c r="I27" s="1105">
        <f>D27*G27</f>
        <v>33732</v>
      </c>
      <c r="J27" s="1106"/>
      <c r="K27" s="1107"/>
      <c r="L27" s="1108"/>
      <c r="M27" s="624"/>
    </row>
    <row r="28" spans="2:14" ht="20.100000000000001" customHeight="1" x14ac:dyDescent="0.25">
      <c r="B28" s="1101"/>
      <c r="C28" s="1102" t="str">
        <f>'[2]PLANILHA ORÇAMENTÁRIA'!$E$5</f>
        <v>ESTRADA DE ACESSO B. RAPOSO X MORRO DO ANGICO</v>
      </c>
      <c r="D28" s="1103">
        <v>3840</v>
      </c>
      <c r="E28" s="1103"/>
      <c r="F28" s="1104" t="s">
        <v>527</v>
      </c>
      <c r="G28" s="1104">
        <v>6</v>
      </c>
      <c r="H28" s="1104" t="s">
        <v>506</v>
      </c>
      <c r="I28" s="1105">
        <f t="shared" ref="I28:I34" si="0">D28*G28</f>
        <v>23040</v>
      </c>
      <c r="J28" s="1106"/>
      <c r="K28" s="1107"/>
      <c r="L28" s="1108"/>
      <c r="M28" s="624"/>
    </row>
    <row r="29" spans="2:14" ht="20.100000000000001" customHeight="1" x14ac:dyDescent="0.25">
      <c r="B29" s="1101"/>
      <c r="C29" s="1102" t="str">
        <f>'[3]PLANILHA ORÇAMENTÁRIA'!$E$5</f>
        <v>ESTRADA DE ACESSO BAIXÃO DO LERIANO</v>
      </c>
      <c r="D29" s="1103">
        <v>1650</v>
      </c>
      <c r="E29" s="1103"/>
      <c r="F29" s="1104" t="s">
        <v>527</v>
      </c>
      <c r="G29" s="1104">
        <v>6</v>
      </c>
      <c r="H29" s="1104" t="s">
        <v>506</v>
      </c>
      <c r="I29" s="1105">
        <f t="shared" si="0"/>
        <v>9900</v>
      </c>
      <c r="J29" s="1106"/>
      <c r="K29" s="1107"/>
      <c r="L29" s="1108"/>
      <c r="M29" s="624"/>
    </row>
    <row r="30" spans="2:14" ht="20.100000000000001" customHeight="1" x14ac:dyDescent="0.25">
      <c r="B30" s="1101"/>
      <c r="C30" s="1102" t="str">
        <f>'[4]PLANILHA ORÇAMENTÁRIA'!$E$5</f>
        <v>ESTRADA DE ACESSO JUNCO X LIVRAMENTO</v>
      </c>
      <c r="D30" s="1103">
        <v>7900</v>
      </c>
      <c r="E30" s="1103"/>
      <c r="F30" s="1104" t="s">
        <v>527</v>
      </c>
      <c r="G30" s="1104">
        <v>6</v>
      </c>
      <c r="H30" s="1104" t="s">
        <v>506</v>
      </c>
      <c r="I30" s="1105">
        <f t="shared" si="0"/>
        <v>47400</v>
      </c>
      <c r="J30" s="1106"/>
      <c r="K30" s="1107"/>
      <c r="L30" s="1108"/>
      <c r="M30" s="624"/>
    </row>
    <row r="31" spans="2:14" ht="20.100000000000001" customHeight="1" x14ac:dyDescent="0.25">
      <c r="B31" s="1101"/>
      <c r="C31" s="1102" t="str">
        <f>'[5]PLANILHA ORÇAMENTÁRIA'!$E$5</f>
        <v>ESTRADA DE ACESSO AO POVOADO LAGO VERDE</v>
      </c>
      <c r="D31" s="1103">
        <v>6420</v>
      </c>
      <c r="E31" s="1103"/>
      <c r="F31" s="1104" t="s">
        <v>527</v>
      </c>
      <c r="G31" s="1104">
        <v>6</v>
      </c>
      <c r="H31" s="1104" t="s">
        <v>506</v>
      </c>
      <c r="I31" s="1105">
        <f t="shared" si="0"/>
        <v>38520</v>
      </c>
      <c r="J31" s="1106"/>
      <c r="K31" s="1107"/>
      <c r="L31" s="1108"/>
      <c r="M31" s="624"/>
    </row>
    <row r="32" spans="2:14" ht="20.100000000000001" customHeight="1" x14ac:dyDescent="0.25">
      <c r="B32" s="1101"/>
      <c r="C32" s="1102" t="str">
        <f>'[6]PLANILHA ORÇAMENTÁRIA'!$E$5</f>
        <v>ESTRADA DE ACESSO AO  MORCEGO</v>
      </c>
      <c r="D32" s="1103">
        <v>4740</v>
      </c>
      <c r="E32" s="1103"/>
      <c r="F32" s="1104" t="s">
        <v>527</v>
      </c>
      <c r="G32" s="1104">
        <v>6</v>
      </c>
      <c r="H32" s="1104" t="s">
        <v>506</v>
      </c>
      <c r="I32" s="1105">
        <f t="shared" si="0"/>
        <v>28440</v>
      </c>
      <c r="J32" s="1106"/>
      <c r="K32" s="1107"/>
      <c r="L32" s="1108"/>
      <c r="M32" s="624"/>
    </row>
    <row r="33" spans="2:13" ht="20.100000000000001" customHeight="1" x14ac:dyDescent="0.25">
      <c r="B33" s="1101"/>
      <c r="C33" s="1102" t="s">
        <v>918</v>
      </c>
      <c r="D33" s="1103">
        <v>7704</v>
      </c>
      <c r="E33" s="1103"/>
      <c r="F33" s="1104" t="s">
        <v>527</v>
      </c>
      <c r="G33" s="1104">
        <v>6</v>
      </c>
      <c r="H33" s="1104" t="s">
        <v>506</v>
      </c>
      <c r="I33" s="1105">
        <f t="shared" si="0"/>
        <v>46224</v>
      </c>
      <c r="J33" s="1106"/>
      <c r="K33" s="1107"/>
      <c r="L33" s="1108"/>
      <c r="M33" s="624"/>
    </row>
    <row r="34" spans="2:13" ht="20.100000000000001" customHeight="1" x14ac:dyDescent="0.25">
      <c r="B34" s="1101"/>
      <c r="C34" s="1102" t="s">
        <v>919</v>
      </c>
      <c r="D34" s="1103">
        <v>3986</v>
      </c>
      <c r="E34" s="1103"/>
      <c r="F34" s="1104" t="s">
        <v>527</v>
      </c>
      <c r="G34" s="1104">
        <v>6</v>
      </c>
      <c r="H34" s="1104" t="s">
        <v>506</v>
      </c>
      <c r="I34" s="1105">
        <f t="shared" si="0"/>
        <v>23916</v>
      </c>
      <c r="J34" s="1106"/>
      <c r="K34" s="1107"/>
      <c r="L34" s="1108"/>
      <c r="M34" s="624"/>
    </row>
    <row r="35" spans="2:13" ht="20.100000000000001" customHeight="1" x14ac:dyDescent="0.25">
      <c r="B35" s="1101"/>
      <c r="C35" s="1109" t="s">
        <v>920</v>
      </c>
      <c r="D35" s="1109">
        <f>SUM(D27:E34)</f>
        <v>41862</v>
      </c>
      <c r="E35" s="1109"/>
      <c r="F35" s="1109" t="s">
        <v>527</v>
      </c>
      <c r="G35" s="1109">
        <v>6</v>
      </c>
      <c r="H35" s="1103" t="s">
        <v>506</v>
      </c>
      <c r="I35" s="1110">
        <f>SUM(I27:I34)</f>
        <v>251172</v>
      </c>
      <c r="J35" s="1106"/>
      <c r="K35" s="1107"/>
      <c r="L35" s="1108"/>
      <c r="M35" s="662"/>
    </row>
    <row r="36" spans="2:13" ht="20.100000000000001" customHeight="1" x14ac:dyDescent="0.25">
      <c r="B36" s="1101"/>
      <c r="C36" s="1109"/>
      <c r="D36" s="1109"/>
      <c r="E36" s="1109"/>
      <c r="F36" s="1109"/>
      <c r="G36" s="1109"/>
      <c r="H36" s="1103"/>
      <c r="I36" s="1110"/>
      <c r="J36" s="1106"/>
      <c r="K36" s="1107"/>
      <c r="L36" s="1108"/>
      <c r="M36" s="662"/>
    </row>
    <row r="37" spans="2:13" ht="12.75" customHeight="1" x14ac:dyDescent="0.25">
      <c r="B37" s="1111"/>
      <c r="C37" s="1112"/>
      <c r="D37" s="1112"/>
      <c r="E37" s="1112"/>
      <c r="F37" s="1112"/>
      <c r="G37" s="1112"/>
      <c r="H37" s="1112"/>
      <c r="I37" s="1112"/>
      <c r="J37" s="1112"/>
      <c r="K37" s="1112"/>
      <c r="L37" s="1113"/>
    </row>
    <row r="38" spans="2:13" ht="12.75" customHeight="1" thickBot="1" x14ac:dyDescent="0.3">
      <c r="B38" s="1114"/>
      <c r="C38" s="1115"/>
      <c r="D38" s="1115"/>
      <c r="E38" s="1115"/>
      <c r="F38" s="1115"/>
      <c r="G38" s="1115"/>
      <c r="H38" s="1115"/>
      <c r="I38" s="1115"/>
      <c r="J38" s="1115"/>
      <c r="K38" s="1115"/>
      <c r="L38" s="1116"/>
    </row>
    <row r="39" spans="2:13" ht="14.25" customHeight="1" x14ac:dyDescent="0.25">
      <c r="B39" s="1117" t="s">
        <v>724</v>
      </c>
      <c r="C39" s="1118"/>
      <c r="D39" s="1118"/>
      <c r="E39" s="1118"/>
      <c r="F39" s="1118"/>
      <c r="G39" s="1118"/>
      <c r="H39" s="1118"/>
      <c r="I39" s="1118"/>
      <c r="J39" s="1118"/>
      <c r="K39" s="1118"/>
      <c r="L39" s="1119"/>
    </row>
    <row r="40" spans="2:13" ht="16.5" customHeight="1" thickBot="1" x14ac:dyDescent="0.3">
      <c r="B40" s="1120"/>
      <c r="C40" s="1121"/>
      <c r="D40" s="1121"/>
      <c r="E40" s="1121"/>
      <c r="F40" s="1121"/>
      <c r="G40" s="1121"/>
      <c r="H40" s="1121"/>
      <c r="I40" s="1121"/>
      <c r="J40" s="1121"/>
      <c r="K40" s="1121"/>
      <c r="L40" s="1122"/>
    </row>
    <row r="41" spans="2:13" ht="16.5" customHeight="1" x14ac:dyDescent="0.25">
      <c r="B41" s="1123" t="s">
        <v>0</v>
      </c>
      <c r="C41" s="1123" t="s">
        <v>1</v>
      </c>
      <c r="D41" s="1123" t="s">
        <v>2</v>
      </c>
      <c r="E41" s="1124" t="s">
        <v>3</v>
      </c>
      <c r="F41" s="1125" t="s">
        <v>891</v>
      </c>
      <c r="G41" s="1125"/>
      <c r="H41" s="1126"/>
      <c r="I41" s="1127" t="s">
        <v>902</v>
      </c>
      <c r="J41" s="1126"/>
      <c r="K41" s="1127" t="s">
        <v>903</v>
      </c>
      <c r="L41" s="1126"/>
    </row>
    <row r="42" spans="2:13" ht="45" customHeight="1" thickBot="1" x14ac:dyDescent="0.3">
      <c r="B42" s="1128"/>
      <c r="C42" s="1128"/>
      <c r="D42" s="1128"/>
      <c r="E42" s="1129"/>
      <c r="F42" s="1130"/>
      <c r="G42" s="1130"/>
      <c r="H42" s="1131"/>
      <c r="I42" s="1132"/>
      <c r="J42" s="1131"/>
      <c r="K42" s="1132"/>
      <c r="L42" s="1131"/>
    </row>
    <row r="43" spans="2:13" ht="56.25" customHeight="1" thickBot="1" x14ac:dyDescent="0.3">
      <c r="B43" s="1133"/>
      <c r="C43" s="1133"/>
      <c r="D43" s="1133"/>
      <c r="E43" s="1134"/>
      <c r="F43" s="1135" t="s">
        <v>726</v>
      </c>
      <c r="G43" s="1136" t="s">
        <v>729</v>
      </c>
      <c r="H43" s="1137" t="s">
        <v>730</v>
      </c>
      <c r="I43" s="1135" t="s">
        <v>469</v>
      </c>
      <c r="J43" s="1135" t="s">
        <v>4</v>
      </c>
      <c r="K43" s="1135" t="s">
        <v>727</v>
      </c>
      <c r="L43" s="1135" t="s">
        <v>728</v>
      </c>
    </row>
    <row r="44" spans="2:13" ht="32.1" customHeight="1" x14ac:dyDescent="0.25">
      <c r="B44" s="1138"/>
      <c r="C44" s="1139"/>
      <c r="D44" s="1140"/>
      <c r="E44" s="1141"/>
      <c r="F44" s="1141"/>
      <c r="G44" s="1142"/>
      <c r="H44" s="1143"/>
      <c r="I44" s="1143"/>
      <c r="J44" s="1143"/>
      <c r="K44" s="1144"/>
      <c r="L44" s="1145"/>
    </row>
    <row r="45" spans="2:13" ht="32.1" customHeight="1" x14ac:dyDescent="0.3">
      <c r="B45" s="1146" t="s">
        <v>31</v>
      </c>
      <c r="C45" s="1147" t="s">
        <v>41</v>
      </c>
      <c r="D45" s="1140"/>
      <c r="E45" s="1217"/>
      <c r="F45" s="1148"/>
      <c r="G45" s="1148"/>
      <c r="H45" s="1148"/>
      <c r="I45" s="1148"/>
      <c r="J45" s="1148"/>
      <c r="K45" s="1149">
        <f>SUM(K46:K48)</f>
        <v>180464.23595999996</v>
      </c>
      <c r="L45" s="1150">
        <f>SUM(L46:L48)</f>
        <v>227384.92</v>
      </c>
    </row>
    <row r="46" spans="2:13" ht="32.1" customHeight="1" x14ac:dyDescent="0.25">
      <c r="B46" s="1151" t="s">
        <v>5</v>
      </c>
      <c r="C46" s="1152" t="str">
        <f>'[7]MEMORIA DE CALCULO'!$C$28:$N$28</f>
        <v>PLACA DE OBRA EM CHAPA DE ACO GALVANIZADO</v>
      </c>
      <c r="D46" s="1153" t="s">
        <v>6</v>
      </c>
      <c r="E46" s="1218">
        <v>6</v>
      </c>
      <c r="F46" s="1154"/>
      <c r="G46" s="1155" t="s">
        <v>796</v>
      </c>
      <c r="H46" s="1156">
        <f>I46</f>
        <v>298.01015999999998</v>
      </c>
      <c r="I46" s="1156">
        <f>'COMP.CUST'!N30</f>
        <v>298.01015999999998</v>
      </c>
      <c r="J46" s="1156">
        <f>ROUND(I46+I46*$L$16,2)</f>
        <v>375.49</v>
      </c>
      <c r="K46" s="1157">
        <f>E46*H46</f>
        <v>1788.0609599999998</v>
      </c>
      <c r="L46" s="1158">
        <f>E46*J46</f>
        <v>2252.94</v>
      </c>
    </row>
    <row r="47" spans="2:13" ht="32.1" customHeight="1" x14ac:dyDescent="0.25">
      <c r="B47" s="1151" t="s">
        <v>7</v>
      </c>
      <c r="C47" s="1152" t="s">
        <v>894</v>
      </c>
      <c r="D47" s="1153" t="s">
        <v>470</v>
      </c>
      <c r="E47" s="1218">
        <v>1</v>
      </c>
      <c r="F47" s="1154"/>
      <c r="G47" s="1155" t="s">
        <v>796</v>
      </c>
      <c r="H47" s="1156">
        <f t="shared" ref="H47:H48" si="1">I47</f>
        <v>6316.5749999999998</v>
      </c>
      <c r="I47" s="1156">
        <f>'COMP.CUST'!Q58</f>
        <v>6316.5749999999998</v>
      </c>
      <c r="J47" s="1156">
        <f t="shared" ref="J47:J48" si="2">ROUND(I47+I47*$L$16,2)</f>
        <v>7958.88</v>
      </c>
      <c r="K47" s="1157">
        <f t="shared" ref="K47:K48" si="3">E47*H47</f>
        <v>6316.5749999999998</v>
      </c>
      <c r="L47" s="1158">
        <f>E47*J47</f>
        <v>7958.88</v>
      </c>
    </row>
    <row r="48" spans="2:13" ht="32.1" customHeight="1" x14ac:dyDescent="0.25">
      <c r="B48" s="1151" t="s">
        <v>8</v>
      </c>
      <c r="C48" s="1152" t="str">
        <f>'[7]MEMORIA DE CALCULO'!$C$36:$M$36</f>
        <v>Administração Local</v>
      </c>
      <c r="D48" s="1153" t="s">
        <v>906</v>
      </c>
      <c r="E48" s="1218">
        <v>5</v>
      </c>
      <c r="F48" s="1154"/>
      <c r="G48" s="1155" t="s">
        <v>796</v>
      </c>
      <c r="H48" s="1156">
        <f t="shared" si="1"/>
        <v>34471.919999999998</v>
      </c>
      <c r="I48" s="1156">
        <f>'COMP.CUST'!K79</f>
        <v>34471.919999999998</v>
      </c>
      <c r="J48" s="1156">
        <f t="shared" si="2"/>
        <v>43434.62</v>
      </c>
      <c r="K48" s="1157">
        <f t="shared" si="3"/>
        <v>172359.59999999998</v>
      </c>
      <c r="L48" s="1158">
        <f>E48*J48</f>
        <v>217173.1</v>
      </c>
      <c r="M48" s="620"/>
    </row>
    <row r="49" spans="2:21" ht="32.1" customHeight="1" x14ac:dyDescent="0.3">
      <c r="B49" s="1151"/>
      <c r="C49" s="1152"/>
      <c r="D49" s="1156"/>
      <c r="E49" s="1219"/>
      <c r="F49" s="1159"/>
      <c r="G49" s="1153"/>
      <c r="H49" s="1153"/>
      <c r="I49" s="1160"/>
      <c r="J49" s="1160"/>
      <c r="K49" s="1161"/>
      <c r="L49" s="1162"/>
      <c r="M49" s="37"/>
      <c r="N49" s="8"/>
      <c r="O49" s="8"/>
      <c r="P49" s="8"/>
      <c r="Q49" s="8"/>
      <c r="R49" s="8"/>
      <c r="S49" s="8"/>
      <c r="T49" s="8"/>
      <c r="U49" s="8"/>
    </row>
    <row r="50" spans="2:21" ht="32.1" customHeight="1" x14ac:dyDescent="0.3">
      <c r="B50" s="1163" t="s">
        <v>32</v>
      </c>
      <c r="C50" s="1164" t="s">
        <v>472</v>
      </c>
      <c r="D50" s="1153"/>
      <c r="E50" s="1220"/>
      <c r="F50" s="1160"/>
      <c r="G50" s="1160"/>
      <c r="H50" s="1160"/>
      <c r="I50" s="1160"/>
      <c r="J50" s="1160"/>
      <c r="K50" s="1149">
        <f>SUM(K51:K55)</f>
        <v>933110.89833025739</v>
      </c>
      <c r="L50" s="1165">
        <f>SUM(L51:L55)</f>
        <v>1176092.6008764773</v>
      </c>
      <c r="M50" s="36"/>
      <c r="N50" s="8"/>
      <c r="O50" s="8"/>
      <c r="P50" s="8"/>
      <c r="Q50" s="8"/>
      <c r="R50" s="8"/>
      <c r="S50" s="8"/>
      <c r="T50" s="8"/>
      <c r="U50" s="8"/>
    </row>
    <row r="51" spans="2:21" ht="41.25" customHeight="1" x14ac:dyDescent="0.25">
      <c r="B51" s="1151" t="s">
        <v>9</v>
      </c>
      <c r="C51" s="1166" t="str">
        <f>'[7]MEMORIA DE CALCULO'!$C$45:$N$45</f>
        <v>DESMATAMENTO E LIMPEZA MECANIZADA DE TERRENO COM REMOCAO DE CAMADA VEGETAL, UTILIZANDO TRATOR DE ESTEIRAS</v>
      </c>
      <c r="D51" s="1153" t="s">
        <v>6</v>
      </c>
      <c r="E51" s="1221">
        <f>'[8]MEMORIA DE CALCULO'!$L$43</f>
        <v>108841.2</v>
      </c>
      <c r="F51" s="1167"/>
      <c r="G51" s="1153">
        <v>98525</v>
      </c>
      <c r="H51" s="1156">
        <f>I51</f>
        <v>0.24</v>
      </c>
      <c r="I51" s="1156">
        <v>0.24</v>
      </c>
      <c r="J51" s="1156">
        <f t="shared" ref="J51:J54" si="4">ROUND(I51+I51*$L$16,2)</f>
        <v>0.3</v>
      </c>
      <c r="K51" s="1157">
        <f>E51*I51</f>
        <v>26121.887999999999</v>
      </c>
      <c r="L51" s="1158">
        <f t="shared" ref="L51:L54" si="5">E51*J51</f>
        <v>32652.359999999997</v>
      </c>
      <c r="M51" s="613">
        <v>98525</v>
      </c>
      <c r="N51" s="8"/>
      <c r="O51" s="8"/>
      <c r="P51" s="8"/>
      <c r="Q51" s="8"/>
      <c r="R51" s="8"/>
      <c r="S51" s="8"/>
      <c r="T51" s="8"/>
      <c r="U51" s="8"/>
    </row>
    <row r="52" spans="2:21" ht="32.1" customHeight="1" x14ac:dyDescent="0.25">
      <c r="B52" s="1151" t="s">
        <v>10</v>
      </c>
      <c r="C52" s="1168" t="str">
        <f>'[7]MEMORIA DE CALCULO'!$C$49:$N$49</f>
        <v>TRANSPORTE DE MATERIAL -BOTA-FORA, DMT ATE 8KM</v>
      </c>
      <c r="D52" s="1169" t="s">
        <v>480</v>
      </c>
      <c r="E52" s="1221">
        <f>'[8]MEMORIA DE CALCULO'!$N$47</f>
        <v>157474.39273109924</v>
      </c>
      <c r="F52" s="1167"/>
      <c r="G52" s="1153" t="s">
        <v>949</v>
      </c>
      <c r="H52" s="1156">
        <f t="shared" ref="H52" si="6">I52</f>
        <v>0.78</v>
      </c>
      <c r="I52" s="1156">
        <v>0.78</v>
      </c>
      <c r="J52" s="1156">
        <f t="shared" ref="J52" si="7">ROUND(I52+I52*$L$16,2)</f>
        <v>0.98</v>
      </c>
      <c r="K52" s="1157">
        <f t="shared" ref="K52" si="8">E52*I52</f>
        <v>122830.02633025742</v>
      </c>
      <c r="L52" s="1158">
        <f t="shared" ref="L52" si="9">E52*J52</f>
        <v>154324.90487647726</v>
      </c>
      <c r="M52" s="613"/>
    </row>
    <row r="53" spans="2:21" s="9" customFormat="1" ht="50.25" customHeight="1" x14ac:dyDescent="0.25">
      <c r="B53" s="1151" t="s">
        <v>478</v>
      </c>
      <c r="C53" s="1166" t="s">
        <v>943</v>
      </c>
      <c r="D53" s="1169" t="s">
        <v>11</v>
      </c>
      <c r="E53" s="1221">
        <f>'[8]MEMORIA DE CALCULO'!$L$51</f>
        <v>50234.400000000001</v>
      </c>
      <c r="F53" s="1167"/>
      <c r="G53" s="1153" t="s">
        <v>950</v>
      </c>
      <c r="H53" s="1156">
        <f t="shared" ref="H53:H54" si="10">I53</f>
        <v>7.41</v>
      </c>
      <c r="I53" s="1156">
        <v>7.41</v>
      </c>
      <c r="J53" s="1156">
        <f>ROUND(I53+I53*$L$16,2)</f>
        <v>9.34</v>
      </c>
      <c r="K53" s="1157">
        <f t="shared" ref="K53:K54" si="11">E53*I53</f>
        <v>372236.90400000004</v>
      </c>
      <c r="L53" s="1158">
        <f t="shared" si="5"/>
        <v>469189.29600000003</v>
      </c>
      <c r="M53" s="613">
        <v>101207</v>
      </c>
      <c r="N53" s="420">
        <v>4.43</v>
      </c>
      <c r="O53" s="8"/>
      <c r="P53" s="8"/>
      <c r="Q53" s="8"/>
      <c r="R53" s="8"/>
      <c r="S53" s="8"/>
      <c r="T53" s="8"/>
      <c r="U53" s="8"/>
    </row>
    <row r="54" spans="2:21" s="9" customFormat="1" ht="32.1" customHeight="1" x14ac:dyDescent="0.25">
      <c r="B54" s="1151" t="s">
        <v>473</v>
      </c>
      <c r="C54" s="1168" t="s">
        <v>892</v>
      </c>
      <c r="D54" s="1153" t="s">
        <v>6</v>
      </c>
      <c r="E54" s="1221">
        <f>'[8]MEMORIA DE CALCULO'!$H$55</f>
        <v>251172</v>
      </c>
      <c r="F54" s="1167"/>
      <c r="G54" s="1153">
        <v>100576</v>
      </c>
      <c r="H54" s="1156">
        <f t="shared" si="10"/>
        <v>1.64</v>
      </c>
      <c r="I54" s="1156">
        <v>1.64</v>
      </c>
      <c r="J54" s="1156">
        <f t="shared" si="4"/>
        <v>2.0699999999999998</v>
      </c>
      <c r="K54" s="1157">
        <f t="shared" si="11"/>
        <v>411922.07999999996</v>
      </c>
      <c r="L54" s="1158">
        <f t="shared" si="5"/>
        <v>519926.04</v>
      </c>
      <c r="M54" s="613">
        <v>100576</v>
      </c>
      <c r="N54" s="8"/>
      <c r="O54" s="8"/>
      <c r="P54" s="8"/>
      <c r="Q54" s="8"/>
      <c r="R54" s="8"/>
      <c r="S54" s="8"/>
      <c r="T54" s="8"/>
      <c r="U54" s="8"/>
    </row>
    <row r="55" spans="2:21" s="9" customFormat="1" ht="32.1" customHeight="1" x14ac:dyDescent="0.3">
      <c r="B55" s="1170"/>
      <c r="C55" s="1160"/>
      <c r="D55" s="1153"/>
      <c r="E55" s="1220"/>
      <c r="F55" s="1160"/>
      <c r="G55" s="1160"/>
      <c r="H55" s="1160"/>
      <c r="I55" s="1160"/>
      <c r="J55" s="1160"/>
      <c r="K55" s="1161"/>
      <c r="L55" s="1162"/>
      <c r="M55" s="613"/>
      <c r="N55" s="8"/>
      <c r="O55" s="8"/>
      <c r="P55" s="8"/>
      <c r="Q55" s="8"/>
      <c r="R55" s="8"/>
      <c r="S55" s="8"/>
      <c r="T55" s="8"/>
      <c r="U55" s="8"/>
    </row>
    <row r="56" spans="2:21" s="9" customFormat="1" ht="32.1" customHeight="1" x14ac:dyDescent="0.3">
      <c r="B56" s="1171" t="s">
        <v>33</v>
      </c>
      <c r="C56" s="1164" t="s">
        <v>195</v>
      </c>
      <c r="D56" s="1153"/>
      <c r="E56" s="1220"/>
      <c r="F56" s="1160"/>
      <c r="G56" s="1160"/>
      <c r="H56" s="1160"/>
      <c r="I56" s="1160"/>
      <c r="J56" s="1160"/>
      <c r="K56" s="1149">
        <f>SUM(K57:K70)</f>
        <v>338581.12372175016</v>
      </c>
      <c r="L56" s="1165">
        <f>SUM(L57:L70)</f>
        <v>426612.64000000007</v>
      </c>
      <c r="M56" s="8"/>
      <c r="N56" s="8"/>
      <c r="O56" s="8"/>
      <c r="P56" s="8"/>
      <c r="Q56" s="8"/>
      <c r="R56" s="8"/>
      <c r="S56" s="8"/>
      <c r="T56" s="8"/>
      <c r="U56" s="8"/>
    </row>
    <row r="57" spans="2:21" s="9" customFormat="1" ht="32.1" customHeight="1" x14ac:dyDescent="0.25">
      <c r="B57" s="1172" t="s">
        <v>19</v>
      </c>
      <c r="C57" s="1168" t="str">
        <f>'[9]MEMORIA DE CALCULO'!$C$69:$N$69</f>
        <v>Corpo de BQTC D= 1,00m - Fornecimento e assentamento</v>
      </c>
      <c r="D57" s="1153" t="s">
        <v>12</v>
      </c>
      <c r="E57" s="1221">
        <f>'[9]MEMORIA DE CALCULO'!$L$71</f>
        <v>24</v>
      </c>
      <c r="F57" s="1167"/>
      <c r="G57" s="1155" t="s">
        <v>796</v>
      </c>
      <c r="H57" s="1156">
        <f t="shared" ref="H57:H70" si="12">I57</f>
        <v>2377.4969749879515</v>
      </c>
      <c r="I57" s="1156">
        <f>'COMP.CUST'!Q170</f>
        <v>2377.4969749879515</v>
      </c>
      <c r="J57" s="1156">
        <f t="shared" ref="J57:J68" si="13">ROUND(I57+I57*$L$16,2)</f>
        <v>2995.65</v>
      </c>
      <c r="K57" s="1157">
        <f t="shared" ref="K57:K68" si="14">E57*I57</f>
        <v>57059.927399710839</v>
      </c>
      <c r="L57" s="1158">
        <f t="shared" ref="L57:L68" si="15">E57*J57</f>
        <v>71895.600000000006</v>
      </c>
      <c r="M57" s="41"/>
      <c r="N57" s="8"/>
      <c r="O57" s="8"/>
      <c r="P57" s="8"/>
      <c r="Q57" s="8"/>
      <c r="R57" s="8"/>
      <c r="S57" s="8"/>
      <c r="T57" s="8"/>
      <c r="U57" s="8"/>
    </row>
    <row r="58" spans="2:21" s="9" customFormat="1" ht="32.1" customHeight="1" x14ac:dyDescent="0.25">
      <c r="B58" s="1172" t="s">
        <v>13</v>
      </c>
      <c r="C58" s="1152" t="str">
        <f>'[9]MEMORIA DE CALCULO'!$C$73:$N$73</f>
        <v>Corpo de BTTC D= 1,00m - Fornecimento e assentamento</v>
      </c>
      <c r="D58" s="1153" t="s">
        <v>12</v>
      </c>
      <c r="E58" s="1222">
        <f>'[9]MEMORIA DE CALCULO'!$L$75</f>
        <v>24</v>
      </c>
      <c r="F58" s="1173"/>
      <c r="G58" s="1155" t="s">
        <v>952</v>
      </c>
      <c r="H58" s="1156">
        <f t="shared" si="12"/>
        <v>1844.43</v>
      </c>
      <c r="I58" s="1156">
        <v>1844.43</v>
      </c>
      <c r="J58" s="1156">
        <f t="shared" si="13"/>
        <v>2323.98</v>
      </c>
      <c r="K58" s="1157">
        <f t="shared" si="14"/>
        <v>44266.32</v>
      </c>
      <c r="L58" s="1174">
        <f t="shared" si="15"/>
        <v>55775.520000000004</v>
      </c>
      <c r="M58" s="41"/>
      <c r="N58" s="8"/>
      <c r="O58" s="8"/>
      <c r="P58" s="8"/>
      <c r="Q58" s="8"/>
      <c r="R58" s="8"/>
      <c r="S58" s="8"/>
      <c r="T58" s="8"/>
      <c r="U58" s="8"/>
    </row>
    <row r="59" spans="2:21" s="9" customFormat="1" ht="32.1" customHeight="1" x14ac:dyDescent="0.25">
      <c r="B59" s="1172" t="s">
        <v>205</v>
      </c>
      <c r="C59" s="1152" t="str">
        <f>'[9]MEMORIA DE CALCULO'!$C$77:$N$77</f>
        <v>Corpo de BDTC D= 1,00m - Fornecimento e assentamento</v>
      </c>
      <c r="D59" s="1153" t="s">
        <v>12</v>
      </c>
      <c r="E59" s="1222">
        <f>'[9]MEMORIA DE CALCULO'!$L$79</f>
        <v>8</v>
      </c>
      <c r="F59" s="1173"/>
      <c r="G59" s="1155" t="s">
        <v>953</v>
      </c>
      <c r="H59" s="1156">
        <f t="shared" si="12"/>
        <v>1243.92</v>
      </c>
      <c r="I59" s="1156">
        <v>1243.92</v>
      </c>
      <c r="J59" s="1156">
        <f t="shared" si="13"/>
        <v>1567.34</v>
      </c>
      <c r="K59" s="1157">
        <f t="shared" si="14"/>
        <v>9951.36</v>
      </c>
      <c r="L59" s="1174">
        <f t="shared" si="15"/>
        <v>12538.72</v>
      </c>
      <c r="M59" s="41"/>
      <c r="N59" s="8"/>
      <c r="O59" s="8"/>
      <c r="P59" s="8"/>
      <c r="Q59" s="8"/>
      <c r="R59" s="8"/>
      <c r="S59" s="8"/>
      <c r="T59" s="8"/>
      <c r="U59" s="8"/>
    </row>
    <row r="60" spans="2:21" s="9" customFormat="1" ht="32.1" customHeight="1" x14ac:dyDescent="0.25">
      <c r="B60" s="1172" t="s">
        <v>206</v>
      </c>
      <c r="C60" s="1168" t="str">
        <f>'[9]MEMORIA DE CALCULO'!$C$81:$N$81</f>
        <v>Corpo de BSTC D= 1,00m - Fornecimento e assentamneto</v>
      </c>
      <c r="D60" s="1153" t="s">
        <v>12</v>
      </c>
      <c r="E60" s="1221">
        <f>'[9]MEMORIA DE CALCULO'!$L$83</f>
        <v>8</v>
      </c>
      <c r="F60" s="1167"/>
      <c r="G60" s="1153" t="s">
        <v>954</v>
      </c>
      <c r="H60" s="1156">
        <f t="shared" si="12"/>
        <v>643.41</v>
      </c>
      <c r="I60" s="1156">
        <v>643.41</v>
      </c>
      <c r="J60" s="1156">
        <f t="shared" si="13"/>
        <v>810.7</v>
      </c>
      <c r="K60" s="1157">
        <f t="shared" si="14"/>
        <v>5147.28</v>
      </c>
      <c r="L60" s="1158">
        <f t="shared" si="15"/>
        <v>6485.6</v>
      </c>
      <c r="M60" s="41"/>
      <c r="N60" s="8"/>
      <c r="O60" s="8"/>
      <c r="P60" s="8"/>
      <c r="Q60" s="8"/>
      <c r="R60" s="8"/>
      <c r="S60" s="8"/>
      <c r="T60" s="8"/>
      <c r="U60" s="8"/>
    </row>
    <row r="61" spans="2:21" s="9" customFormat="1" ht="32.1" customHeight="1" x14ac:dyDescent="0.25">
      <c r="B61" s="1172" t="s">
        <v>207</v>
      </c>
      <c r="C61" s="1168" t="str">
        <f>'[9]MEMORIA DE CALCULO'!$C$85:$N$85</f>
        <v>Corpo de BDTC D= 0,80m - Fornecimento e assentamento</v>
      </c>
      <c r="D61" s="1153" t="s">
        <v>12</v>
      </c>
      <c r="E61" s="1221">
        <f>'[8]MEMORIA DE CALCULO'!$L$78</f>
        <v>104</v>
      </c>
      <c r="F61" s="1167"/>
      <c r="G61" s="1155" t="s">
        <v>955</v>
      </c>
      <c r="H61" s="1156">
        <f t="shared" si="12"/>
        <v>857.68</v>
      </c>
      <c r="I61" s="1156">
        <v>857.68</v>
      </c>
      <c r="J61" s="1156">
        <f t="shared" si="13"/>
        <v>1080.68</v>
      </c>
      <c r="K61" s="1157">
        <f t="shared" si="14"/>
        <v>89198.720000000001</v>
      </c>
      <c r="L61" s="1158">
        <f t="shared" si="15"/>
        <v>112390.72</v>
      </c>
      <c r="M61" s="41"/>
      <c r="N61" s="8"/>
      <c r="O61" s="8"/>
      <c r="P61" s="8"/>
      <c r="Q61" s="8"/>
      <c r="R61" s="8"/>
      <c r="S61" s="8"/>
      <c r="T61" s="8"/>
      <c r="U61" s="8"/>
    </row>
    <row r="62" spans="2:21" s="9" customFormat="1" ht="32.1" customHeight="1" x14ac:dyDescent="0.25">
      <c r="B62" s="1172" t="s">
        <v>481</v>
      </c>
      <c r="C62" s="1175" t="str">
        <f>'[9]MEMORIA DE CALCULO'!$C$89:$N$89</f>
        <v>Corpo de BSTC D= 0,80m - Fornecimento e assentamento</v>
      </c>
      <c r="D62" s="1153" t="s">
        <v>12</v>
      </c>
      <c r="E62" s="1218">
        <f>'[9]MEMORIA DE CALCULO'!$L$91</f>
        <v>16</v>
      </c>
      <c r="F62" s="1154"/>
      <c r="G62" s="1155" t="s">
        <v>956</v>
      </c>
      <c r="H62" s="1156">
        <f t="shared" si="12"/>
        <v>449.9</v>
      </c>
      <c r="I62" s="1156">
        <v>449.9</v>
      </c>
      <c r="J62" s="1156">
        <f t="shared" si="13"/>
        <v>566.87</v>
      </c>
      <c r="K62" s="1157">
        <f t="shared" si="14"/>
        <v>7198.4</v>
      </c>
      <c r="L62" s="1176">
        <f>J62*E62</f>
        <v>9069.92</v>
      </c>
      <c r="M62" s="41"/>
      <c r="N62" s="8"/>
      <c r="O62" s="8"/>
      <c r="P62" s="8"/>
      <c r="Q62" s="8"/>
      <c r="R62" s="8"/>
      <c r="S62" s="8"/>
      <c r="T62" s="8"/>
      <c r="U62" s="8"/>
    </row>
    <row r="63" spans="2:21" s="9" customFormat="1" ht="32.1" customHeight="1" x14ac:dyDescent="0.25">
      <c r="B63" s="1172" t="s">
        <v>482</v>
      </c>
      <c r="C63" s="1168" t="str">
        <f>'[9]MEMORIA DE CALCULO'!$C$93:$N$93</f>
        <v>Corpo de BDTC D= 0,60m - Fornecimento e assentamento</v>
      </c>
      <c r="D63" s="1153" t="s">
        <v>12</v>
      </c>
      <c r="E63" s="1221">
        <f>'[9]MEMORIA DE CALCULO'!$L$95</f>
        <v>80</v>
      </c>
      <c r="F63" s="1167"/>
      <c r="G63" s="1155" t="s">
        <v>796</v>
      </c>
      <c r="H63" s="1156">
        <f t="shared" si="12"/>
        <v>545.49024449799197</v>
      </c>
      <c r="I63" s="1156">
        <f>'COMP.CUST'!Q333</f>
        <v>545.49024449799197</v>
      </c>
      <c r="J63" s="1156">
        <f>ROUND(I63+I63*$L$16,2)</f>
        <v>687.32</v>
      </c>
      <c r="K63" s="1157">
        <f t="shared" si="14"/>
        <v>43639.219559839359</v>
      </c>
      <c r="L63" s="1158">
        <f>E63*J63</f>
        <v>54985.600000000006</v>
      </c>
      <c r="M63" s="41"/>
      <c r="N63" s="8"/>
      <c r="O63" s="8"/>
      <c r="P63" s="8"/>
      <c r="Q63" s="8"/>
      <c r="R63" s="8"/>
      <c r="S63" s="8"/>
      <c r="T63" s="8"/>
      <c r="U63" s="8"/>
    </row>
    <row r="64" spans="2:21" s="9" customFormat="1" ht="32.1" customHeight="1" x14ac:dyDescent="0.25">
      <c r="B64" s="1172" t="s">
        <v>797</v>
      </c>
      <c r="C64" s="1168" t="str">
        <f>'[9]MEMORIA DE CALCULO'!$C$97:$N$97</f>
        <v xml:space="preserve"> Boca de BQTC D= 1,00m</v>
      </c>
      <c r="D64" s="1153" t="s">
        <v>470</v>
      </c>
      <c r="E64" s="1222">
        <f>'[9]MEMORIA DE CALCULO'!$L$99</f>
        <v>6</v>
      </c>
      <c r="F64" s="1173"/>
      <c r="G64" s="1155" t="s">
        <v>796</v>
      </c>
      <c r="H64" s="1156">
        <f t="shared" si="12"/>
        <v>2967.8807537000002</v>
      </c>
      <c r="I64" s="1156">
        <f>'COMP.CUST'!Q344</f>
        <v>2967.8807537000002</v>
      </c>
      <c r="J64" s="1156">
        <f t="shared" ref="J64:J67" si="16">ROUND(I64+I64*$L$16,2)</f>
        <v>3739.53</v>
      </c>
      <c r="K64" s="1157">
        <f t="shared" ref="K64:K67" si="17">E64*I64</f>
        <v>17807.284522200003</v>
      </c>
      <c r="L64" s="1174">
        <f t="shared" ref="L64:L67" si="18">E64*J64</f>
        <v>22437.18</v>
      </c>
      <c r="M64" s="41"/>
      <c r="N64" s="8"/>
      <c r="O64" s="8"/>
      <c r="P64" s="8"/>
      <c r="Q64" s="8"/>
      <c r="R64" s="8"/>
      <c r="S64" s="8"/>
      <c r="T64" s="8"/>
      <c r="U64" s="8"/>
    </row>
    <row r="65" spans="2:21" s="9" customFormat="1" ht="32.1" customHeight="1" x14ac:dyDescent="0.25">
      <c r="B65" s="1172" t="s">
        <v>798</v>
      </c>
      <c r="C65" s="1168" t="str">
        <f>'[9]MEMORIA DE CALCULO'!$C$101:$N$101</f>
        <v>Boca de BTTC D= 1,00m</v>
      </c>
      <c r="D65" s="1153" t="s">
        <v>470</v>
      </c>
      <c r="E65" s="1222">
        <f>'[9]MEMORIA DE CALCULO'!$L$103</f>
        <v>6</v>
      </c>
      <c r="F65" s="1173"/>
      <c r="G65" s="1155" t="s">
        <v>957</v>
      </c>
      <c r="H65" s="1156">
        <f t="shared" si="12"/>
        <v>2026.51</v>
      </c>
      <c r="I65" s="1156">
        <v>2026.51</v>
      </c>
      <c r="J65" s="1156">
        <f t="shared" si="16"/>
        <v>2553.4</v>
      </c>
      <c r="K65" s="1157">
        <f t="shared" si="17"/>
        <v>12159.06</v>
      </c>
      <c r="L65" s="1174">
        <f t="shared" si="18"/>
        <v>15320.400000000001</v>
      </c>
      <c r="M65" s="41"/>
      <c r="N65" s="8"/>
      <c r="O65" s="8"/>
      <c r="P65" s="8"/>
      <c r="Q65" s="8"/>
      <c r="R65" s="8"/>
      <c r="S65" s="8"/>
      <c r="T65" s="8"/>
      <c r="U65" s="8"/>
    </row>
    <row r="66" spans="2:21" s="9" customFormat="1" ht="32.1" customHeight="1" x14ac:dyDescent="0.25">
      <c r="B66" s="1172" t="s">
        <v>799</v>
      </c>
      <c r="C66" s="1168" t="str">
        <f>'[9]MEMORIA DE CALCULO'!$C$105:$N$105</f>
        <v>Boca de BDTC D= 1,00m</v>
      </c>
      <c r="D66" s="1153" t="s">
        <v>470</v>
      </c>
      <c r="E66" s="1222">
        <f>'[9]MEMORIA DE CALCULO'!$L$107</f>
        <v>2</v>
      </c>
      <c r="F66" s="1173"/>
      <c r="G66" s="1155" t="s">
        <v>958</v>
      </c>
      <c r="H66" s="1156">
        <f t="shared" si="12"/>
        <v>1656.18</v>
      </c>
      <c r="I66" s="1156">
        <v>1656.18</v>
      </c>
      <c r="J66" s="1156">
        <f t="shared" si="16"/>
        <v>2086.79</v>
      </c>
      <c r="K66" s="1157">
        <f t="shared" si="17"/>
        <v>3312.36</v>
      </c>
      <c r="L66" s="1174">
        <f t="shared" si="18"/>
        <v>4173.58</v>
      </c>
      <c r="M66" s="41"/>
      <c r="N66" s="8"/>
      <c r="O66" s="8"/>
      <c r="P66" s="8"/>
      <c r="Q66" s="8"/>
      <c r="R66" s="8"/>
      <c r="S66" s="8"/>
      <c r="T66" s="8"/>
      <c r="U66" s="8"/>
    </row>
    <row r="67" spans="2:21" s="9" customFormat="1" ht="32.1" customHeight="1" x14ac:dyDescent="0.25">
      <c r="B67" s="1172" t="s">
        <v>800</v>
      </c>
      <c r="C67" s="1168" t="str">
        <f>'[9]MEMORIA DE CALCULO'!$C$109:$N$109</f>
        <v>Boca de BSTC D= 1,00m</v>
      </c>
      <c r="D67" s="1153" t="s">
        <v>470</v>
      </c>
      <c r="E67" s="1222">
        <f>'[9]MEMORIA DE CALCULO'!$L$111</f>
        <v>2</v>
      </c>
      <c r="F67" s="1173"/>
      <c r="G67" s="1155" t="s">
        <v>959</v>
      </c>
      <c r="H67" s="1156">
        <f t="shared" si="12"/>
        <v>1380.18</v>
      </c>
      <c r="I67" s="1156">
        <v>1380.18</v>
      </c>
      <c r="J67" s="1156">
        <f t="shared" si="16"/>
        <v>1739.03</v>
      </c>
      <c r="K67" s="1157">
        <f t="shared" si="17"/>
        <v>2760.36</v>
      </c>
      <c r="L67" s="1174">
        <f t="shared" si="18"/>
        <v>3478.06</v>
      </c>
      <c r="M67" s="41"/>
      <c r="N67" s="8"/>
      <c r="O67" s="8"/>
      <c r="P67" s="8"/>
      <c r="Q67" s="8"/>
      <c r="R67" s="8"/>
      <c r="S67" s="8"/>
      <c r="T67" s="8"/>
      <c r="U67" s="8"/>
    </row>
    <row r="68" spans="2:21" s="9" customFormat="1" ht="32.1" customHeight="1" x14ac:dyDescent="0.25">
      <c r="B68" s="1172" t="s">
        <v>801</v>
      </c>
      <c r="C68" s="1168" t="str">
        <f>'[9]MEMORIA DE CALCULO'!$C$114:$N$114</f>
        <v>Boca de BDTC D= 0,80m</v>
      </c>
      <c r="D68" s="1153" t="s">
        <v>470</v>
      </c>
      <c r="E68" s="1221">
        <f>'[8]MEMORIA DE CALCULO'!$L$107</f>
        <v>26</v>
      </c>
      <c r="F68" s="1167"/>
      <c r="G68" s="1155" t="s">
        <v>960</v>
      </c>
      <c r="H68" s="1156">
        <f>I68</f>
        <v>1117.3599999999999</v>
      </c>
      <c r="I68" s="1156">
        <v>1117.3599999999999</v>
      </c>
      <c r="J68" s="1156">
        <f t="shared" si="13"/>
        <v>1407.87</v>
      </c>
      <c r="K68" s="1157">
        <f t="shared" si="14"/>
        <v>29051.359999999997</v>
      </c>
      <c r="L68" s="1158">
        <f t="shared" si="15"/>
        <v>36604.619999999995</v>
      </c>
      <c r="M68" s="8"/>
      <c r="N68" s="8"/>
      <c r="O68" s="8"/>
      <c r="P68" s="8"/>
      <c r="Q68" s="8"/>
      <c r="R68" s="8"/>
      <c r="S68" s="8"/>
      <c r="T68" s="8"/>
      <c r="U68" s="8"/>
    </row>
    <row r="69" spans="2:21" s="9" customFormat="1" ht="32.1" customHeight="1" x14ac:dyDescent="0.25">
      <c r="B69" s="1172" t="s">
        <v>802</v>
      </c>
      <c r="C69" s="1168" t="str">
        <f>'[9]MEMORIA DE CALCULO'!$C$118:$N$118</f>
        <v>Boca de BSTC D= 0,80m</v>
      </c>
      <c r="D69" s="1153" t="s">
        <v>470</v>
      </c>
      <c r="E69" s="1221">
        <f>'[9]MEMORIA DE CALCULO'!$L$120</f>
        <v>4</v>
      </c>
      <c r="F69" s="1167"/>
      <c r="G69" s="1153" t="s">
        <v>961</v>
      </c>
      <c r="H69" s="1156">
        <f t="shared" si="12"/>
        <v>924.67</v>
      </c>
      <c r="I69" s="1156">
        <v>924.67</v>
      </c>
      <c r="J69" s="1156">
        <f t="shared" ref="J69" si="19">ROUND(I69+I69*$L$16,2)</f>
        <v>1165.08</v>
      </c>
      <c r="K69" s="1157">
        <f t="shared" ref="K69:K70" si="20">E69*I69</f>
        <v>3698.68</v>
      </c>
      <c r="L69" s="1158">
        <f t="shared" ref="L69" si="21">E69*J69</f>
        <v>4660.32</v>
      </c>
      <c r="M69" s="8"/>
      <c r="N69" s="8"/>
      <c r="O69" s="8"/>
      <c r="P69" s="8"/>
      <c r="Q69" s="8"/>
      <c r="R69" s="8"/>
      <c r="S69" s="8"/>
      <c r="T69" s="8"/>
      <c r="U69" s="8"/>
    </row>
    <row r="70" spans="2:21" s="9" customFormat="1" ht="32.1" customHeight="1" x14ac:dyDescent="0.25">
      <c r="B70" s="1172" t="s">
        <v>803</v>
      </c>
      <c r="C70" s="1168" t="str">
        <f>'[9]MEMORIA DE CALCULO'!$C$122:$N$122</f>
        <v>Boca de BDTC D= 0,60m</v>
      </c>
      <c r="D70" s="1153" t="s">
        <v>470</v>
      </c>
      <c r="E70" s="1221">
        <f>'[9]MEMORIA DE CALCULO'!$L$124</f>
        <v>20</v>
      </c>
      <c r="F70" s="1167"/>
      <c r="G70" s="1155" t="s">
        <v>796</v>
      </c>
      <c r="H70" s="1156">
        <f t="shared" si="12"/>
        <v>666.53961199999992</v>
      </c>
      <c r="I70" s="1156">
        <f>'COMP.CUST'!Q405</f>
        <v>666.53961199999992</v>
      </c>
      <c r="J70" s="1156">
        <f>ROUND(I70+I70*$L$16,2)</f>
        <v>839.84</v>
      </c>
      <c r="K70" s="1157">
        <f t="shared" si="20"/>
        <v>13330.792239999999</v>
      </c>
      <c r="L70" s="1158">
        <f>E70*J70</f>
        <v>16796.8</v>
      </c>
      <c r="M70" s="8"/>
      <c r="N70" s="8"/>
      <c r="O70" s="8"/>
      <c r="P70" s="8"/>
      <c r="Q70" s="8"/>
      <c r="R70" s="8"/>
      <c r="S70" s="8"/>
      <c r="T70" s="8"/>
      <c r="U70" s="8"/>
    </row>
    <row r="71" spans="2:21" ht="32.1" customHeight="1" x14ac:dyDescent="0.3">
      <c r="B71" s="1172"/>
      <c r="C71" s="1160"/>
      <c r="D71" s="1153"/>
      <c r="E71" s="1220"/>
      <c r="F71" s="1160"/>
      <c r="G71" s="1160"/>
      <c r="H71" s="1160"/>
      <c r="I71" s="1160"/>
      <c r="J71" s="1160"/>
      <c r="K71" s="1161"/>
      <c r="L71" s="1162"/>
      <c r="M71" s="8"/>
      <c r="N71" s="8"/>
      <c r="O71" s="8"/>
      <c r="P71" s="8"/>
      <c r="Q71" s="8"/>
      <c r="R71" s="8"/>
    </row>
    <row r="72" spans="2:21" ht="32.1" customHeight="1" x14ac:dyDescent="0.3">
      <c r="B72" s="1163" t="s">
        <v>161</v>
      </c>
      <c r="C72" s="1164" t="s">
        <v>895</v>
      </c>
      <c r="D72" s="1153"/>
      <c r="E72" s="1220"/>
      <c r="F72" s="1160"/>
      <c r="G72" s="1160"/>
      <c r="H72" s="1160"/>
      <c r="I72" s="1160"/>
      <c r="J72" s="1160"/>
      <c r="K72" s="1149">
        <f>SUM(K73:K74)</f>
        <v>60560.753951999999</v>
      </c>
      <c r="L72" s="1165">
        <f>SUM(L73:L74)</f>
        <v>76306.963199999998</v>
      </c>
      <c r="M72" s="42"/>
      <c r="N72" s="8"/>
      <c r="O72" s="8"/>
      <c r="P72" s="8"/>
      <c r="Q72" s="8"/>
      <c r="R72" s="8"/>
    </row>
    <row r="73" spans="2:21" ht="32.1" customHeight="1" x14ac:dyDescent="0.25">
      <c r="B73" s="1151" t="s">
        <v>14</v>
      </c>
      <c r="C73" s="1168" t="s">
        <v>890</v>
      </c>
      <c r="D73" s="1153" t="s">
        <v>6</v>
      </c>
      <c r="E73" s="1221">
        <f>6.6*5.2</f>
        <v>34.32</v>
      </c>
      <c r="F73" s="1167"/>
      <c r="G73" s="1155" t="s">
        <v>796</v>
      </c>
      <c r="H73" s="1156">
        <f t="shared" ref="H73" si="22">I73</f>
        <v>1096.6335999999999</v>
      </c>
      <c r="I73" s="1156">
        <f>'COMP.CUST'!K428</f>
        <v>1096.6335999999999</v>
      </c>
      <c r="J73" s="1156">
        <f t="shared" ref="J73" si="23">ROUND(I73+I73*$L$16,2)</f>
        <v>1381.76</v>
      </c>
      <c r="K73" s="1157">
        <f t="shared" ref="K73" si="24">E73*I73</f>
        <v>37636.465151999997</v>
      </c>
      <c r="L73" s="1158">
        <f>E73*J73</f>
        <v>47422.003199999999</v>
      </c>
      <c r="M73" s="280">
        <v>4356.49</v>
      </c>
      <c r="N73" s="8"/>
      <c r="O73" s="8"/>
      <c r="P73" s="8"/>
      <c r="Q73" s="8"/>
      <c r="R73" s="8"/>
    </row>
    <row r="74" spans="2:21" ht="32.1" customHeight="1" x14ac:dyDescent="0.25">
      <c r="B74" s="1151" t="s">
        <v>15</v>
      </c>
      <c r="C74" s="1152" t="s">
        <v>870</v>
      </c>
      <c r="D74" s="1153" t="s">
        <v>6</v>
      </c>
      <c r="E74" s="1218">
        <f>2*3.6*10</f>
        <v>72</v>
      </c>
      <c r="F74" s="1154"/>
      <c r="G74" s="1155" t="s">
        <v>796</v>
      </c>
      <c r="H74" s="1156">
        <f t="shared" ref="H74" si="25">I74</f>
        <v>318.39290000000005</v>
      </c>
      <c r="I74" s="1156">
        <f>'COMP.CUST'!K442</f>
        <v>318.39290000000005</v>
      </c>
      <c r="J74" s="1156">
        <f t="shared" ref="J74" si="26">ROUND(I74+I74*$L$16,2)</f>
        <v>401.18</v>
      </c>
      <c r="K74" s="1157">
        <f t="shared" ref="K74" si="27">E74*I74</f>
        <v>22924.288800000002</v>
      </c>
      <c r="L74" s="1158">
        <f t="shared" ref="L74" si="28">E74*J74</f>
        <v>28884.959999999999</v>
      </c>
      <c r="M74" s="280">
        <v>6231.57</v>
      </c>
    </row>
    <row r="75" spans="2:21" ht="32.1" customHeight="1" x14ac:dyDescent="0.25">
      <c r="B75" s="1151"/>
      <c r="C75" s="1177"/>
      <c r="D75" s="1153"/>
      <c r="E75" s="1218"/>
      <c r="F75" s="1154"/>
      <c r="G75" s="1155"/>
      <c r="H75" s="1156"/>
      <c r="I75" s="1156"/>
      <c r="J75" s="1156"/>
      <c r="K75" s="1157"/>
      <c r="L75" s="1158"/>
      <c r="M75" s="280"/>
    </row>
    <row r="76" spans="2:21" ht="32.1" customHeight="1" x14ac:dyDescent="0.3">
      <c r="B76" s="1163" t="s">
        <v>907</v>
      </c>
      <c r="C76" s="1164" t="s">
        <v>908</v>
      </c>
      <c r="D76" s="1153"/>
      <c r="E76" s="1220"/>
      <c r="F76" s="1160"/>
      <c r="G76" s="1160"/>
      <c r="H76" s="1160"/>
      <c r="I76" s="1160"/>
      <c r="J76" s="1160"/>
      <c r="K76" s="1149">
        <f>SUM(K77:K78)</f>
        <v>6316.5749999999998</v>
      </c>
      <c r="L76" s="1165">
        <f>SUM(L77:L78)</f>
        <v>7958.88</v>
      </c>
      <c r="M76" s="280"/>
    </row>
    <row r="77" spans="2:21" ht="32.1" customHeight="1" x14ac:dyDescent="0.25">
      <c r="B77" s="1151" t="s">
        <v>909</v>
      </c>
      <c r="C77" s="1152" t="s">
        <v>893</v>
      </c>
      <c r="D77" s="1153" t="s">
        <v>470</v>
      </c>
      <c r="E77" s="1219">
        <v>1</v>
      </c>
      <c r="F77" s="1159"/>
      <c r="G77" s="1155" t="s">
        <v>796</v>
      </c>
      <c r="H77" s="1156">
        <f>I77</f>
        <v>6316.5749999999998</v>
      </c>
      <c r="I77" s="1156">
        <f>'COMP.CUST'!Q138</f>
        <v>6316.5749999999998</v>
      </c>
      <c r="J77" s="1156">
        <f t="shared" ref="J77" si="29">ROUND(I77+I77*$L$16,2)</f>
        <v>7958.88</v>
      </c>
      <c r="K77" s="1157">
        <f t="shared" ref="K77" si="30">E77*H77</f>
        <v>6316.5749999999998</v>
      </c>
      <c r="L77" s="1158">
        <f>E77*J77</f>
        <v>7958.88</v>
      </c>
      <c r="M77" s="280"/>
    </row>
    <row r="78" spans="2:21" ht="32.1" customHeight="1" x14ac:dyDescent="0.25">
      <c r="B78" s="1172"/>
      <c r="C78" s="1152"/>
      <c r="D78" s="1153"/>
      <c r="E78" s="1221"/>
      <c r="F78" s="1167"/>
      <c r="G78" s="1178"/>
      <c r="H78" s="1178"/>
      <c r="I78" s="1156"/>
      <c r="J78" s="1156"/>
      <c r="K78" s="1157"/>
      <c r="L78" s="1158"/>
    </row>
    <row r="79" spans="2:21" ht="32.1" customHeight="1" thickBot="1" x14ac:dyDescent="0.35">
      <c r="B79" s="1179"/>
      <c r="C79" s="1180"/>
      <c r="D79" s="1181"/>
      <c r="E79" s="1182"/>
      <c r="F79" s="1182"/>
      <c r="G79" s="1181"/>
      <c r="H79" s="1181"/>
      <c r="I79" s="1183"/>
      <c r="J79" s="1183"/>
      <c r="K79" s="1184"/>
      <c r="L79" s="1176"/>
    </row>
    <row r="80" spans="2:21" ht="32.1" customHeight="1" x14ac:dyDescent="0.25">
      <c r="B80" s="1185" t="s">
        <v>784</v>
      </c>
      <c r="C80" s="1186"/>
      <c r="D80" s="1186"/>
      <c r="E80" s="1186"/>
      <c r="F80" s="1186"/>
      <c r="G80" s="1186"/>
      <c r="H80" s="1186"/>
      <c r="I80" s="1186"/>
      <c r="J80" s="1186"/>
      <c r="K80" s="1187">
        <f>SUM(L45,L50,L56,L72,L76)</f>
        <v>1914356.0040764771</v>
      </c>
      <c r="L80" s="1188"/>
      <c r="M80" s="663">
        <f>K80/D35</f>
        <v>45.730161102586528</v>
      </c>
    </row>
    <row r="81" spans="2:13" ht="32.1" customHeight="1" thickBot="1" x14ac:dyDescent="0.3">
      <c r="B81" s="1189"/>
      <c r="C81" s="1190"/>
      <c r="D81" s="1190"/>
      <c r="E81" s="1190"/>
      <c r="F81" s="1190"/>
      <c r="G81" s="1190"/>
      <c r="H81" s="1190"/>
      <c r="I81" s="1190"/>
      <c r="J81" s="1190"/>
      <c r="K81" s="1191"/>
      <c r="L81" s="1192"/>
      <c r="M81" s="664"/>
    </row>
    <row r="82" spans="2:13" ht="32.1" customHeight="1" x14ac:dyDescent="0.25">
      <c r="B82" s="1193"/>
      <c r="C82" s="1194"/>
      <c r="D82" s="1194"/>
      <c r="E82" s="1194"/>
      <c r="F82" s="1194"/>
      <c r="G82" s="1194"/>
      <c r="H82" s="1194"/>
      <c r="I82" s="1194"/>
      <c r="J82" s="1194"/>
      <c r="K82" s="1194"/>
      <c r="L82" s="1195"/>
    </row>
    <row r="83" spans="2:13" ht="32.1" customHeight="1" thickBot="1" x14ac:dyDescent="0.3">
      <c r="B83" s="1196"/>
      <c r="C83" s="1197"/>
      <c r="D83" s="1197"/>
      <c r="E83" s="1197"/>
      <c r="F83" s="1197"/>
      <c r="G83" s="1197"/>
      <c r="H83" s="1197"/>
      <c r="I83" s="1197"/>
      <c r="J83" s="1197"/>
      <c r="K83" s="1197"/>
      <c r="L83" s="1198"/>
    </row>
    <row r="84" spans="2:13" ht="32.1" customHeight="1" thickBot="1" x14ac:dyDescent="0.3">
      <c r="B84" s="1199" t="s">
        <v>785</v>
      </c>
      <c r="C84" s="1200"/>
      <c r="D84" s="1200"/>
      <c r="E84" s="1200"/>
      <c r="F84" s="1200"/>
      <c r="G84" s="1200"/>
      <c r="H84" s="1200"/>
      <c r="I84" s="1201"/>
      <c r="J84" s="1202" t="s">
        <v>786</v>
      </c>
      <c r="K84" s="1203"/>
      <c r="L84" s="1204" t="s">
        <v>787</v>
      </c>
    </row>
    <row r="85" spans="2:13" ht="32.1" customHeight="1" x14ac:dyDescent="0.3">
      <c r="B85" s="1205" t="s">
        <v>788</v>
      </c>
      <c r="C85" s="1206"/>
      <c r="D85" s="1206"/>
      <c r="E85" s="1206"/>
      <c r="F85" s="1206"/>
      <c r="G85" s="1206"/>
      <c r="H85" s="1206"/>
      <c r="I85" s="1206"/>
      <c r="J85" s="1207">
        <v>2000</v>
      </c>
      <c r="K85" s="1207"/>
      <c r="L85" s="1208">
        <f>J85/J87</f>
        <v>1.0447377581500779E-3</v>
      </c>
    </row>
    <row r="86" spans="2:13" ht="32.1" customHeight="1" x14ac:dyDescent="0.25">
      <c r="B86" s="1209" t="s">
        <v>878</v>
      </c>
      <c r="C86" s="1210"/>
      <c r="D86" s="1210"/>
      <c r="E86" s="1210"/>
      <c r="F86" s="1210"/>
      <c r="G86" s="1210"/>
      <c r="H86" s="1210"/>
      <c r="I86" s="1210"/>
      <c r="J86" s="1211">
        <f>J87-J85</f>
        <v>1912356.0040764771</v>
      </c>
      <c r="K86" s="1211"/>
      <c r="L86" s="1212">
        <f>J86/J87</f>
        <v>0.99895526224184994</v>
      </c>
    </row>
    <row r="87" spans="2:13" ht="32.1" customHeight="1" thickBot="1" x14ac:dyDescent="0.3">
      <c r="B87" s="1213" t="s">
        <v>879</v>
      </c>
      <c r="C87" s="1214"/>
      <c r="D87" s="1214"/>
      <c r="E87" s="1214"/>
      <c r="F87" s="1214"/>
      <c r="G87" s="1214"/>
      <c r="H87" s="1214"/>
      <c r="I87" s="1214"/>
      <c r="J87" s="1215">
        <f>K80</f>
        <v>1914356.0040764771</v>
      </c>
      <c r="K87" s="1215"/>
      <c r="L87" s="1216">
        <v>1</v>
      </c>
    </row>
    <row r="88" spans="2:13" x14ac:dyDescent="0.25">
      <c r="B88" s="490"/>
      <c r="C88" s="609"/>
      <c r="D88" s="610"/>
      <c r="E88" s="610"/>
      <c r="F88" s="610"/>
      <c r="G88" s="610"/>
      <c r="H88" s="610"/>
      <c r="I88" s="610"/>
      <c r="J88" s="610"/>
      <c r="K88" s="610"/>
      <c r="L88" s="492"/>
    </row>
    <row r="89" spans="2:13" x14ac:dyDescent="0.25">
      <c r="B89" s="490"/>
      <c r="C89" s="491"/>
      <c r="D89" s="490"/>
      <c r="E89" s="490"/>
      <c r="F89" s="490"/>
      <c r="G89" s="490"/>
      <c r="H89" s="490"/>
      <c r="I89" s="490"/>
      <c r="J89" s="490"/>
      <c r="K89" s="490"/>
      <c r="L89" s="492"/>
    </row>
    <row r="90" spans="2:13" x14ac:dyDescent="0.25">
      <c r="B90" s="490"/>
      <c r="C90" s="491"/>
      <c r="D90" s="490"/>
      <c r="E90" s="490"/>
      <c r="F90" s="490"/>
      <c r="G90" s="490"/>
      <c r="H90" s="490"/>
      <c r="I90" s="490"/>
      <c r="J90" s="490"/>
      <c r="K90" s="490"/>
      <c r="L90" s="492"/>
    </row>
    <row r="91" spans="2:13" x14ac:dyDescent="0.25">
      <c r="B91" s="490"/>
      <c r="C91" s="491"/>
      <c r="D91" s="490"/>
      <c r="E91" s="490"/>
      <c r="F91" s="490"/>
      <c r="G91" s="490"/>
      <c r="H91" s="490"/>
      <c r="I91" s="490"/>
      <c r="J91" s="490"/>
      <c r="K91" s="490"/>
      <c r="L91" s="492"/>
    </row>
    <row r="92" spans="2:13" x14ac:dyDescent="0.25">
      <c r="B92" s="490"/>
      <c r="C92" s="491"/>
      <c r="D92" s="490"/>
      <c r="E92" s="490"/>
      <c r="F92" s="490"/>
      <c r="G92" s="490"/>
      <c r="H92" s="490"/>
      <c r="I92" s="490"/>
      <c r="J92" s="490"/>
      <c r="K92" s="490"/>
      <c r="L92" s="492"/>
    </row>
    <row r="93" spans="2:13" x14ac:dyDescent="0.25">
      <c r="B93" s="490"/>
      <c r="C93" s="491"/>
      <c r="D93" s="490"/>
      <c r="E93" s="490">
        <f>J87/43012</f>
        <v>44.507486377673139</v>
      </c>
      <c r="F93" s="490"/>
      <c r="G93" s="490"/>
      <c r="H93" s="490"/>
      <c r="I93" s="490"/>
      <c r="J93" s="490"/>
      <c r="K93" s="490"/>
      <c r="L93" s="492"/>
    </row>
    <row r="94" spans="2:13" x14ac:dyDescent="0.25">
      <c r="B94" s="490"/>
      <c r="C94" s="491"/>
      <c r="D94" s="490"/>
      <c r="E94" s="490"/>
      <c r="F94" s="490"/>
      <c r="G94" s="490"/>
      <c r="H94" s="490"/>
      <c r="I94" s="490"/>
      <c r="J94" s="490"/>
      <c r="K94" s="490"/>
      <c r="L94" s="492"/>
    </row>
    <row r="95" spans="2:13" x14ac:dyDescent="0.25">
      <c r="B95" s="490"/>
      <c r="C95" s="491"/>
      <c r="D95" s="490"/>
      <c r="E95" s="490">
        <f>J87/43.012</f>
        <v>44507.486377673144</v>
      </c>
      <c r="F95" s="490"/>
      <c r="G95" s="490"/>
      <c r="H95" s="490"/>
      <c r="I95" s="490">
        <v>1914356</v>
      </c>
      <c r="J95" s="617">
        <f>I95-J87</f>
        <v>-4.0764771401882172E-3</v>
      </c>
      <c r="K95" s="490"/>
      <c r="L95" s="492"/>
    </row>
    <row r="96" spans="2:13" x14ac:dyDescent="0.25">
      <c r="B96" s="490"/>
      <c r="C96" s="491"/>
      <c r="D96" s="490"/>
      <c r="E96" s="490"/>
      <c r="F96" s="490"/>
      <c r="G96" s="490"/>
      <c r="H96" s="490"/>
      <c r="I96" s="490"/>
      <c r="J96" s="490"/>
      <c r="K96" s="490"/>
      <c r="L96" s="492"/>
    </row>
    <row r="97" spans="2:12" x14ac:dyDescent="0.25">
      <c r="B97" s="490"/>
      <c r="C97" s="491"/>
      <c r="D97" s="490"/>
      <c r="E97" s="490"/>
      <c r="F97" s="490"/>
      <c r="G97" s="490"/>
      <c r="H97" s="490"/>
      <c r="I97" s="490"/>
      <c r="J97" s="490"/>
      <c r="K97" s="490"/>
      <c r="L97" s="492"/>
    </row>
    <row r="99" spans="2:12" x14ac:dyDescent="0.25">
      <c r="E99" s="6">
        <f>(J95/1.26)/4</f>
        <v>-8.08824829402424E-4</v>
      </c>
    </row>
  </sheetData>
  <sheetProtection algorithmName="SHA-512" hashValue="5XkDJqM/LJLAZLpzhVQighNGIAccH9zcdR43baKlqFCTou3rgi0vUl+1+CQbLiU4TONr74rEzpo+eQWOQkbCUw==" saltValue="QjgwGeLG2Ibs2eNEKS5eIg==" spinCount="100000" sheet="1" objects="1" scenarios="1"/>
  <mergeCells count="58">
    <mergeCell ref="G35:G36"/>
    <mergeCell ref="H35:H36"/>
    <mergeCell ref="I35:I36"/>
    <mergeCell ref="M35:M36"/>
    <mergeCell ref="M80:M81"/>
    <mergeCell ref="D33:E33"/>
    <mergeCell ref="D34:E34"/>
    <mergeCell ref="C35:C36"/>
    <mergeCell ref="D35:E36"/>
    <mergeCell ref="F35:F36"/>
    <mergeCell ref="G13:J13"/>
    <mergeCell ref="B24:L24"/>
    <mergeCell ref="E18:K18"/>
    <mergeCell ref="B20:L20"/>
    <mergeCell ref="B39:L40"/>
    <mergeCell ref="B6:C19"/>
    <mergeCell ref="D14:F14"/>
    <mergeCell ref="K14:L14"/>
    <mergeCell ref="E16:K16"/>
    <mergeCell ref="D6:L7"/>
    <mergeCell ref="D8:L8"/>
    <mergeCell ref="D9:L10"/>
    <mergeCell ref="D12:F12"/>
    <mergeCell ref="G12:J12"/>
    <mergeCell ref="K12:L12"/>
    <mergeCell ref="K13:L13"/>
    <mergeCell ref="B22:L22"/>
    <mergeCell ref="B23:L23"/>
    <mergeCell ref="K41:L42"/>
    <mergeCell ref="I41:J42"/>
    <mergeCell ref="E17:K17"/>
    <mergeCell ref="D41:D43"/>
    <mergeCell ref="E41:E43"/>
    <mergeCell ref="B25:F25"/>
    <mergeCell ref="D26:E26"/>
    <mergeCell ref="K26:L26"/>
    <mergeCell ref="D27:E27"/>
    <mergeCell ref="D28:E28"/>
    <mergeCell ref="D29:E29"/>
    <mergeCell ref="D30:E30"/>
    <mergeCell ref="D31:E31"/>
    <mergeCell ref="D32:E32"/>
    <mergeCell ref="D13:F13"/>
    <mergeCell ref="G14:J14"/>
    <mergeCell ref="B87:I87"/>
    <mergeCell ref="J87:K87"/>
    <mergeCell ref="B80:J81"/>
    <mergeCell ref="B85:I85"/>
    <mergeCell ref="J85:K85"/>
    <mergeCell ref="B86:I86"/>
    <mergeCell ref="J86:K86"/>
    <mergeCell ref="B84:I84"/>
    <mergeCell ref="J84:K84"/>
    <mergeCell ref="K80:L81"/>
    <mergeCell ref="C41:C43"/>
    <mergeCell ref="B41:B43"/>
    <mergeCell ref="F41:H42"/>
    <mergeCell ref="B21:L2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27" orientation="portrait" horizontalDpi="360" verticalDpi="360" r:id="rId1"/>
  <headerFooter>
    <oddFooter>Página &amp;P de &amp;N</oddFooter>
  </headerFooter>
  <ignoredErrors>
    <ignoredError sqref="L6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9F71-E962-40C3-8C40-0E51DAA65366}">
  <sheetPr>
    <pageSetUpPr fitToPage="1"/>
  </sheetPr>
  <dimension ref="C2:Q447"/>
  <sheetViews>
    <sheetView view="pageBreakPreview" topLeftCell="B430" zoomScale="85" zoomScaleNormal="100" zoomScaleSheetLayoutView="85" workbookViewId="0">
      <selection activeCell="K437" sqref="K437"/>
    </sheetView>
  </sheetViews>
  <sheetFormatPr defaultRowHeight="15" x14ac:dyDescent="0.25"/>
  <cols>
    <col min="2" max="2" width="6.140625" customWidth="1"/>
    <col min="4" max="4" width="11.5703125" customWidth="1"/>
    <col min="5" max="5" width="38.28515625" customWidth="1"/>
    <col min="6" max="6" width="13" customWidth="1"/>
    <col min="9" max="9" width="15.140625" customWidth="1"/>
    <col min="11" max="11" width="18.28515625" customWidth="1"/>
    <col min="12" max="12" width="10.28515625" customWidth="1"/>
    <col min="14" max="14" width="12.5703125" customWidth="1"/>
    <col min="15" max="15" width="10.7109375" customWidth="1"/>
    <col min="16" max="16" width="12.28515625" customWidth="1"/>
    <col min="17" max="17" width="15.28515625" customWidth="1"/>
  </cols>
  <sheetData>
    <row r="2" spans="3:17" ht="15.75" thickBot="1" x14ac:dyDescent="0.3"/>
    <row r="3" spans="3:17" x14ac:dyDescent="0.25">
      <c r="C3" s="1223"/>
      <c r="D3" s="1224"/>
      <c r="E3" s="1224"/>
      <c r="F3" s="1225" t="s">
        <v>876</v>
      </c>
      <c r="G3" s="1225"/>
      <c r="H3" s="1225"/>
      <c r="I3" s="1225"/>
      <c r="J3" s="1225"/>
      <c r="K3" s="1225"/>
      <c r="L3" s="1225"/>
      <c r="M3" s="1225"/>
      <c r="N3" s="1225"/>
      <c r="O3" s="1225"/>
      <c r="P3" s="1225"/>
      <c r="Q3" s="1226"/>
    </row>
    <row r="4" spans="3:17" x14ac:dyDescent="0.25">
      <c r="C4" s="1227"/>
      <c r="D4" s="1228"/>
      <c r="E4" s="1228"/>
      <c r="F4" s="1229" t="s">
        <v>877</v>
      </c>
      <c r="G4" s="1229"/>
      <c r="H4" s="1229"/>
      <c r="I4" s="1229"/>
      <c r="J4" s="1229"/>
      <c r="K4" s="1229"/>
      <c r="L4" s="1229"/>
      <c r="M4" s="1229"/>
      <c r="N4" s="1229"/>
      <c r="O4" s="1229"/>
      <c r="P4" s="1229"/>
      <c r="Q4" s="1230"/>
    </row>
    <row r="5" spans="3:17" x14ac:dyDescent="0.25">
      <c r="C5" s="1227"/>
      <c r="D5" s="1228"/>
      <c r="E5" s="1228"/>
      <c r="F5" s="1229"/>
      <c r="G5" s="1229"/>
      <c r="H5" s="1229"/>
      <c r="I5" s="1229"/>
      <c r="J5" s="1229"/>
      <c r="K5" s="1229"/>
      <c r="L5" s="1229"/>
      <c r="M5" s="1229"/>
      <c r="N5" s="1229"/>
      <c r="O5" s="1229"/>
      <c r="P5" s="1229"/>
      <c r="Q5" s="1230"/>
    </row>
    <row r="6" spans="3:17" x14ac:dyDescent="0.25">
      <c r="C6" s="1227"/>
      <c r="D6" s="1228"/>
      <c r="E6" s="1228"/>
      <c r="F6" s="1229"/>
      <c r="G6" s="1229"/>
      <c r="H6" s="1229"/>
      <c r="I6" s="1229"/>
      <c r="J6" s="1229"/>
      <c r="K6" s="1229"/>
      <c r="L6" s="1229"/>
      <c r="M6" s="1229"/>
      <c r="N6" s="1229"/>
      <c r="O6" s="1229"/>
      <c r="P6" s="1229"/>
      <c r="Q6" s="1230"/>
    </row>
    <row r="7" spans="3:17" x14ac:dyDescent="0.25">
      <c r="C7" s="1227"/>
      <c r="D7" s="1228"/>
      <c r="E7" s="1228"/>
      <c r="F7" s="1229"/>
      <c r="G7" s="1229"/>
      <c r="H7" s="1229"/>
      <c r="I7" s="1229"/>
      <c r="J7" s="1229"/>
      <c r="K7" s="1229"/>
      <c r="L7" s="1229"/>
      <c r="M7" s="1229"/>
      <c r="N7" s="1229"/>
      <c r="O7" s="1229"/>
      <c r="P7" s="1229"/>
      <c r="Q7" s="1230"/>
    </row>
    <row r="8" spans="3:17" x14ac:dyDescent="0.25">
      <c r="C8" s="1227"/>
      <c r="D8" s="1228"/>
      <c r="E8" s="1228"/>
      <c r="F8" s="1229"/>
      <c r="G8" s="1229"/>
      <c r="H8" s="1229"/>
      <c r="I8" s="1229"/>
      <c r="J8" s="1229"/>
      <c r="K8" s="1229"/>
      <c r="L8" s="1229"/>
      <c r="M8" s="1229"/>
      <c r="N8" s="1229"/>
      <c r="O8" s="1229"/>
      <c r="P8" s="1229"/>
      <c r="Q8" s="1230"/>
    </row>
    <row r="9" spans="3:17" x14ac:dyDescent="0.25">
      <c r="C9" s="1231"/>
      <c r="D9" s="551"/>
      <c r="E9" s="1229"/>
      <c r="F9" s="1229"/>
      <c r="G9" s="1229"/>
      <c r="H9" s="1229"/>
      <c r="I9" s="1229"/>
      <c r="J9" s="1229"/>
      <c r="K9" s="1229"/>
      <c r="L9" s="1229"/>
      <c r="M9" s="1229"/>
      <c r="N9" s="1229"/>
      <c r="O9" s="1229"/>
      <c r="P9" s="1229"/>
      <c r="Q9" s="1230"/>
    </row>
    <row r="10" spans="3:17" ht="15.75" thickBot="1" x14ac:dyDescent="0.3">
      <c r="C10" s="1231"/>
      <c r="D10" s="1229"/>
      <c r="E10" s="1229"/>
      <c r="F10" s="1229"/>
      <c r="G10" s="1229"/>
      <c r="H10" s="1229"/>
      <c r="I10" s="1229"/>
      <c r="J10" s="1229"/>
      <c r="K10" s="1229"/>
      <c r="L10" s="1229"/>
      <c r="M10" s="1229"/>
      <c r="N10" s="1232"/>
      <c r="O10" s="1229"/>
      <c r="P10" s="1229"/>
      <c r="Q10" s="1230"/>
    </row>
    <row r="11" spans="3:17" ht="15.75" thickBot="1" x14ac:dyDescent="0.3">
      <c r="C11" s="681" t="s">
        <v>805</v>
      </c>
      <c r="D11" s="682"/>
      <c r="E11" s="682"/>
      <c r="F11" s="682"/>
      <c r="G11" s="682"/>
      <c r="H11" s="682"/>
      <c r="I11" s="682"/>
      <c r="J11" s="682"/>
      <c r="K11" s="682"/>
      <c r="L11" s="682"/>
      <c r="M11" s="682"/>
      <c r="N11" s="682"/>
      <c r="O11" s="682"/>
      <c r="P11" s="682"/>
      <c r="Q11" s="683"/>
    </row>
    <row r="12" spans="3:17" x14ac:dyDescent="0.25">
      <c r="C12" s="1233"/>
      <c r="D12" s="1229"/>
      <c r="E12" s="1229"/>
      <c r="F12" s="1229"/>
      <c r="G12" s="1229"/>
      <c r="H12" s="1229"/>
      <c r="I12" s="1229"/>
      <c r="J12" s="1229"/>
      <c r="K12" s="1229"/>
      <c r="L12" s="1229"/>
      <c r="M12" s="1229"/>
      <c r="N12" s="1232"/>
      <c r="O12" s="1229"/>
      <c r="P12" s="1229"/>
      <c r="Q12" s="1230"/>
    </row>
    <row r="13" spans="3:17" x14ac:dyDescent="0.25">
      <c r="C13" s="552" t="s">
        <v>31</v>
      </c>
      <c r="D13" s="553" t="str">
        <f>'PLANILHA ORÇAMENTÁRIA'!C45</f>
        <v>SERVIÇOS PRELIMINARES</v>
      </c>
      <c r="E13" s="1229"/>
      <c r="F13" s="1229"/>
      <c r="G13" s="1229"/>
      <c r="H13" s="1229"/>
      <c r="I13" s="1229"/>
      <c r="J13" s="1229"/>
      <c r="K13" s="1229"/>
      <c r="L13" s="1229"/>
      <c r="M13" s="1229"/>
      <c r="N13" s="1229"/>
      <c r="O13" s="1229"/>
      <c r="P13" s="1229"/>
      <c r="Q13" s="1230"/>
    </row>
    <row r="14" spans="3:17" x14ac:dyDescent="0.25">
      <c r="C14" s="552" t="s">
        <v>5</v>
      </c>
      <c r="D14" s="553" t="s">
        <v>866</v>
      </c>
      <c r="E14" s="1229"/>
      <c r="F14" s="1229"/>
      <c r="G14" s="1229"/>
      <c r="H14" s="1229"/>
      <c r="I14" s="1229"/>
      <c r="J14" s="1229"/>
      <c r="K14" s="1229"/>
      <c r="L14" s="1229"/>
      <c r="M14" s="1229"/>
      <c r="N14" s="1229"/>
      <c r="O14" s="1229"/>
      <c r="P14" s="1229"/>
      <c r="Q14" s="1230"/>
    </row>
    <row r="15" spans="3:17" x14ac:dyDescent="0.25">
      <c r="C15" s="1234"/>
      <c r="D15" s="1235"/>
      <c r="E15" s="1235"/>
      <c r="F15" s="1235"/>
      <c r="G15" s="1235"/>
      <c r="H15" s="1235"/>
      <c r="I15" s="1235"/>
      <c r="J15" s="1235"/>
      <c r="K15" s="1235"/>
      <c r="L15" s="1235"/>
      <c r="M15" s="1235"/>
      <c r="N15" s="1235"/>
      <c r="O15" s="625"/>
      <c r="P15" s="555"/>
      <c r="Q15" s="556"/>
    </row>
    <row r="16" spans="3:17" x14ac:dyDescent="0.25">
      <c r="C16" s="557"/>
      <c r="D16" s="554"/>
      <c r="E16" s="1235"/>
      <c r="F16" s="1235"/>
      <c r="G16" s="1235"/>
      <c r="H16" s="1235"/>
      <c r="I16" s="1235"/>
      <c r="J16" s="1235"/>
      <c r="K16" s="1235"/>
      <c r="L16" s="1235"/>
      <c r="M16" s="1235"/>
      <c r="N16" s="1235"/>
      <c r="O16" s="1235"/>
      <c r="P16" s="1235"/>
      <c r="Q16" s="556"/>
    </row>
    <row r="17" spans="3:17" x14ac:dyDescent="0.25">
      <c r="C17" s="558"/>
      <c r="D17" s="554"/>
      <c r="E17" s="1235"/>
      <c r="F17" s="1235"/>
      <c r="G17" s="1235"/>
      <c r="H17" s="1235"/>
      <c r="I17" s="1229"/>
      <c r="J17" s="559" t="s">
        <v>809</v>
      </c>
      <c r="K17" s="1235"/>
      <c r="L17" s="1235"/>
      <c r="M17" s="1235"/>
      <c r="N17" s="1235"/>
      <c r="O17" s="1235"/>
      <c r="P17" s="1235"/>
      <c r="Q17" s="556"/>
    </row>
    <row r="18" spans="3:17" x14ac:dyDescent="0.25">
      <c r="C18" s="560"/>
      <c r="D18" s="561"/>
      <c r="E18" s="1235"/>
      <c r="F18" s="1235"/>
      <c r="G18" s="1235"/>
      <c r="H18" s="1229"/>
      <c r="I18" s="1235"/>
      <c r="J18" s="1235"/>
      <c r="K18" s="1235"/>
      <c r="L18" s="1235"/>
      <c r="M18" s="1235"/>
      <c r="N18" s="1235"/>
      <c r="O18" s="1235"/>
      <c r="P18" s="1235"/>
      <c r="Q18" s="1236"/>
    </row>
    <row r="19" spans="3:17" x14ac:dyDescent="0.25">
      <c r="C19" s="1234"/>
      <c r="D19" s="1237"/>
      <c r="E19" s="562" t="s">
        <v>810</v>
      </c>
      <c r="F19" s="1235"/>
      <c r="G19" s="1235"/>
      <c r="H19" s="1235"/>
      <c r="I19" s="1235"/>
      <c r="J19" s="1235"/>
      <c r="K19" s="1235"/>
      <c r="L19" s="1235"/>
      <c r="M19" s="1235"/>
      <c r="N19" s="563" t="s">
        <v>166</v>
      </c>
      <c r="O19" s="564" t="s">
        <v>811</v>
      </c>
      <c r="P19" s="565" t="s">
        <v>812</v>
      </c>
      <c r="Q19" s="566" t="s">
        <v>813</v>
      </c>
    </row>
    <row r="20" spans="3:17" x14ac:dyDescent="0.25">
      <c r="C20" s="567" t="s">
        <v>243</v>
      </c>
      <c r="D20" s="563">
        <v>88262</v>
      </c>
      <c r="E20" s="568" t="s">
        <v>814</v>
      </c>
      <c r="F20" s="1235"/>
      <c r="G20" s="1235"/>
      <c r="H20" s="1235"/>
      <c r="I20" s="1235"/>
      <c r="J20" s="1235"/>
      <c r="K20" s="1235"/>
      <c r="L20" s="1235"/>
      <c r="M20" s="1235"/>
      <c r="N20" s="563" t="s">
        <v>739</v>
      </c>
      <c r="O20" s="565">
        <v>1</v>
      </c>
      <c r="P20" s="569">
        <v>16.82</v>
      </c>
      <c r="Q20" s="570">
        <f>ROUND(P20*O20,2)</f>
        <v>16.82</v>
      </c>
    </row>
    <row r="21" spans="3:17" x14ac:dyDescent="0.25">
      <c r="C21" s="567" t="s">
        <v>243</v>
      </c>
      <c r="D21" s="563">
        <v>88316</v>
      </c>
      <c r="E21" s="568" t="s">
        <v>815</v>
      </c>
      <c r="F21" s="1235"/>
      <c r="G21" s="1235"/>
      <c r="H21" s="1235"/>
      <c r="I21" s="1235"/>
      <c r="J21" s="1235"/>
      <c r="K21" s="1235"/>
      <c r="L21" s="1235"/>
      <c r="M21" s="1235"/>
      <c r="N21" s="563" t="s">
        <v>739</v>
      </c>
      <c r="O21" s="565">
        <v>1</v>
      </c>
      <c r="P21" s="569">
        <v>12.69</v>
      </c>
      <c r="Q21" s="570">
        <f>ROUND(P21*O21,2)</f>
        <v>12.69</v>
      </c>
    </row>
    <row r="22" spans="3:17" x14ac:dyDescent="0.25">
      <c r="C22" s="1234"/>
      <c r="D22" s="1238"/>
      <c r="E22" s="562" t="s">
        <v>631</v>
      </c>
      <c r="F22" s="1235"/>
      <c r="G22" s="1235"/>
      <c r="H22" s="1235"/>
      <c r="I22" s="1235"/>
      <c r="J22" s="1235"/>
      <c r="K22" s="1235"/>
      <c r="L22" s="1235"/>
      <c r="M22" s="1235"/>
      <c r="N22" s="563"/>
      <c r="O22" s="564"/>
      <c r="P22" s="569"/>
      <c r="Q22" s="570"/>
    </row>
    <row r="23" spans="3:17" x14ac:dyDescent="0.25">
      <c r="C23" s="567" t="s">
        <v>243</v>
      </c>
      <c r="D23" s="563">
        <v>4417</v>
      </c>
      <c r="E23" s="568" t="s">
        <v>816</v>
      </c>
      <c r="F23" s="1235"/>
      <c r="G23" s="1235"/>
      <c r="H23" s="1235"/>
      <c r="I23" s="1235"/>
      <c r="J23" s="1235"/>
      <c r="K23" s="1235"/>
      <c r="L23" s="1235"/>
      <c r="M23" s="1235"/>
      <c r="N23" s="563" t="s">
        <v>12</v>
      </c>
      <c r="O23" s="565">
        <v>1</v>
      </c>
      <c r="P23" s="569">
        <v>6.53</v>
      </c>
      <c r="Q23" s="570">
        <f>ROUND(P23*O23,2)</f>
        <v>6.53</v>
      </c>
    </row>
    <row r="24" spans="3:17" x14ac:dyDescent="0.25">
      <c r="C24" s="567" t="s">
        <v>243</v>
      </c>
      <c r="D24" s="563">
        <v>4491</v>
      </c>
      <c r="E24" s="568" t="s">
        <v>817</v>
      </c>
      <c r="F24" s="1235"/>
      <c r="G24" s="1235"/>
      <c r="H24" s="1235"/>
      <c r="I24" s="1235"/>
      <c r="J24" s="1235"/>
      <c r="K24" s="1235"/>
      <c r="L24" s="1235"/>
      <c r="M24" s="1235"/>
      <c r="N24" s="563" t="s">
        <v>12</v>
      </c>
      <c r="O24" s="565">
        <v>4</v>
      </c>
      <c r="P24" s="569">
        <v>8.6199999999999992</v>
      </c>
      <c r="Q24" s="570">
        <f>ROUND(P24*O24,2)</f>
        <v>34.479999999999997</v>
      </c>
    </row>
    <row r="25" spans="3:17" x14ac:dyDescent="0.25">
      <c r="C25" s="567" t="s">
        <v>243</v>
      </c>
      <c r="D25" s="563">
        <v>4813</v>
      </c>
      <c r="E25" s="568" t="s">
        <v>818</v>
      </c>
      <c r="F25" s="1235"/>
      <c r="G25" s="1235"/>
      <c r="H25" s="1235"/>
      <c r="I25" s="1235"/>
      <c r="J25" s="1235"/>
      <c r="K25" s="1235"/>
      <c r="L25" s="1235"/>
      <c r="M25" s="1235"/>
      <c r="N25" s="563" t="s">
        <v>214</v>
      </c>
      <c r="O25" s="565">
        <v>1</v>
      </c>
      <c r="P25" s="569">
        <v>225</v>
      </c>
      <c r="Q25" s="570">
        <f>ROUND(P25*O25,2)</f>
        <v>225</v>
      </c>
    </row>
    <row r="26" spans="3:17" x14ac:dyDescent="0.25">
      <c r="C26" s="567" t="s">
        <v>243</v>
      </c>
      <c r="D26" s="563">
        <v>5075</v>
      </c>
      <c r="E26" s="568" t="s">
        <v>819</v>
      </c>
      <c r="F26" s="1235"/>
      <c r="G26" s="1235"/>
      <c r="H26" s="1235"/>
      <c r="I26" s="1235"/>
      <c r="J26" s="1235"/>
      <c r="K26" s="1235"/>
      <c r="L26" s="1235"/>
      <c r="M26" s="1235"/>
      <c r="N26" s="563" t="s">
        <v>217</v>
      </c>
      <c r="O26" s="564">
        <v>0.13600000000000001</v>
      </c>
      <c r="P26" s="569">
        <v>18.309999999999999</v>
      </c>
      <c r="Q26" s="570">
        <f>P26*O26</f>
        <v>2.4901599999999999</v>
      </c>
    </row>
    <row r="27" spans="3:17" x14ac:dyDescent="0.25">
      <c r="C27" s="567"/>
      <c r="D27" s="568"/>
      <c r="E27" s="568"/>
      <c r="F27" s="1235"/>
      <c r="G27" s="1235"/>
      <c r="H27" s="1235"/>
      <c r="I27" s="1235"/>
      <c r="J27" s="1235"/>
      <c r="K27" s="1235"/>
      <c r="L27" s="1235"/>
      <c r="M27" s="1235"/>
      <c r="N27" s="563"/>
      <c r="O27" s="564"/>
      <c r="P27" s="565"/>
      <c r="Q27" s="566"/>
    </row>
    <row r="28" spans="3:17" x14ac:dyDescent="0.25">
      <c r="C28" s="1234"/>
      <c r="D28" s="1235"/>
      <c r="E28" s="1235"/>
      <c r="F28" s="571" t="s">
        <v>386</v>
      </c>
      <c r="G28" s="1239"/>
      <c r="H28" s="572" t="s">
        <v>820</v>
      </c>
      <c r="I28" s="1239"/>
      <c r="J28" s="553" t="s">
        <v>631</v>
      </c>
      <c r="K28" s="1239"/>
      <c r="L28" s="572" t="s">
        <v>821</v>
      </c>
      <c r="M28" s="1239"/>
      <c r="N28" s="572" t="s">
        <v>813</v>
      </c>
      <c r="O28" s="1229"/>
      <c r="P28" s="1229"/>
      <c r="Q28" s="1236"/>
    </row>
    <row r="29" spans="3:17" x14ac:dyDescent="0.25">
      <c r="C29" s="1234"/>
      <c r="D29" s="554" t="s">
        <v>822</v>
      </c>
      <c r="E29" s="1235"/>
      <c r="F29" s="1235"/>
      <c r="G29" s="1235"/>
      <c r="H29" s="1235"/>
      <c r="I29" s="1235"/>
      <c r="J29" s="1235"/>
      <c r="K29" s="1235"/>
      <c r="L29" s="1235"/>
      <c r="M29" s="1235"/>
      <c r="N29" s="1235"/>
      <c r="O29" s="1229"/>
      <c r="P29" s="1229"/>
      <c r="Q29" s="1236"/>
    </row>
    <row r="30" spans="3:17" x14ac:dyDescent="0.25">
      <c r="C30" s="1234"/>
      <c r="D30" s="1235"/>
      <c r="E30" s="1235"/>
      <c r="F30" s="573">
        <v>0</v>
      </c>
      <c r="G30" s="1240"/>
      <c r="H30" s="573">
        <f>SUM(Q20:Q21)</f>
        <v>29.509999999999998</v>
      </c>
      <c r="I30" s="1240"/>
      <c r="J30" s="573">
        <f>SUM(Q23:Q26)</f>
        <v>268.50015999999999</v>
      </c>
      <c r="K30" s="1240"/>
      <c r="L30" s="573">
        <v>0</v>
      </c>
      <c r="M30" s="1240"/>
      <c r="N30" s="574">
        <f>SUM(F30:L30)</f>
        <v>298.01015999999998</v>
      </c>
      <c r="O30" s="1229"/>
      <c r="P30" s="1229"/>
      <c r="Q30" s="1241"/>
    </row>
    <row r="31" spans="3:17" x14ac:dyDescent="0.25">
      <c r="C31" s="1233"/>
      <c r="D31" s="1229"/>
      <c r="E31" s="1229"/>
      <c r="F31" s="1229"/>
      <c r="G31" s="1229"/>
      <c r="H31" s="1229"/>
      <c r="I31" s="1229"/>
      <c r="J31" s="1229"/>
      <c r="K31" s="1229"/>
      <c r="L31" s="1229"/>
      <c r="M31" s="1229"/>
      <c r="N31" s="1242" t="s">
        <v>944</v>
      </c>
      <c r="O31" s="1242"/>
      <c r="P31" s="1242"/>
      <c r="Q31" s="1243"/>
    </row>
    <row r="32" spans="3:17" x14ac:dyDescent="0.25">
      <c r="C32" s="1233"/>
      <c r="D32" s="1229"/>
      <c r="E32" s="1229"/>
      <c r="F32" s="1229"/>
      <c r="G32" s="1229"/>
      <c r="H32" s="1229"/>
      <c r="I32" s="1229"/>
      <c r="J32" s="1229"/>
      <c r="K32" s="1229"/>
      <c r="L32" s="1229"/>
      <c r="M32" s="1229"/>
      <c r="N32" s="1242"/>
      <c r="O32" s="1242"/>
      <c r="P32" s="1242"/>
      <c r="Q32" s="1243"/>
    </row>
    <row r="33" spans="3:17" x14ac:dyDescent="0.25">
      <c r="C33" s="552" t="s">
        <v>7</v>
      </c>
      <c r="D33" s="553" t="str">
        <f>'PLANILHA ORÇAMENTÁRIA'!C47</f>
        <v>Mobilização de Equpamentos</v>
      </c>
      <c r="E33" s="1229"/>
      <c r="F33" s="1229"/>
      <c r="G33" s="1229"/>
      <c r="H33" s="1229"/>
      <c r="I33" s="1229"/>
      <c r="J33" s="1229"/>
      <c r="K33" s="1229"/>
      <c r="L33" s="1229"/>
      <c r="M33" s="1229"/>
      <c r="N33" s="1229"/>
      <c r="O33" s="1229"/>
      <c r="P33" s="1229"/>
      <c r="Q33" s="1230"/>
    </row>
    <row r="34" spans="3:17" x14ac:dyDescent="0.25">
      <c r="C34" s="557"/>
      <c r="D34" s="554"/>
      <c r="E34" s="1235"/>
      <c r="F34" s="1235"/>
      <c r="G34" s="1235"/>
      <c r="H34" s="1235"/>
      <c r="I34" s="1235"/>
      <c r="J34" s="1235"/>
      <c r="K34" s="1235"/>
      <c r="L34" s="1235"/>
      <c r="M34" s="1235"/>
      <c r="N34" s="1235"/>
      <c r="O34" s="1235"/>
      <c r="P34" s="1235"/>
      <c r="Q34" s="556"/>
    </row>
    <row r="35" spans="3:17" x14ac:dyDescent="0.25">
      <c r="C35" s="558"/>
      <c r="D35" s="554"/>
      <c r="E35" s="1235"/>
      <c r="F35" s="1235"/>
      <c r="G35" s="1235"/>
      <c r="H35" s="1235"/>
      <c r="I35" s="1239"/>
      <c r="J35" s="572" t="s">
        <v>809</v>
      </c>
      <c r="K35" s="1235"/>
      <c r="L35" s="1235"/>
      <c r="M35" s="1235"/>
      <c r="N35" s="1235"/>
      <c r="O35" s="1244"/>
      <c r="P35" s="1235"/>
      <c r="Q35" s="556"/>
    </row>
    <row r="36" spans="3:17" x14ac:dyDescent="0.25">
      <c r="C36" s="560"/>
      <c r="D36" s="561"/>
      <c r="E36" s="1235"/>
      <c r="F36" s="1235"/>
      <c r="G36" s="1235"/>
      <c r="H36" s="1229"/>
      <c r="I36" s="1235"/>
      <c r="J36" s="1235"/>
      <c r="K36" s="1235"/>
      <c r="L36" s="1235"/>
      <c r="M36" s="1235"/>
      <c r="N36" s="1235"/>
      <c r="O36" s="1244"/>
      <c r="P36" s="1235"/>
      <c r="Q36" s="1236"/>
    </row>
    <row r="37" spans="3:17" x14ac:dyDescent="0.25">
      <c r="C37" s="560"/>
      <c r="D37" s="561"/>
      <c r="E37" s="1235"/>
      <c r="F37" s="1235"/>
      <c r="G37" s="1235"/>
      <c r="H37" s="1229"/>
      <c r="I37" s="1235"/>
      <c r="J37" s="1235"/>
      <c r="K37" s="1235"/>
      <c r="L37" s="1235"/>
      <c r="M37" s="1235" t="s">
        <v>824</v>
      </c>
      <c r="N37" s="1235"/>
      <c r="O37" s="1235"/>
      <c r="P37" s="1235"/>
      <c r="Q37" s="1236"/>
    </row>
    <row r="38" spans="3:17" x14ac:dyDescent="0.25">
      <c r="C38" s="560"/>
      <c r="D38" s="561"/>
      <c r="E38" s="1235"/>
      <c r="F38" s="1235"/>
      <c r="G38" s="1235"/>
      <c r="H38" s="1229"/>
      <c r="I38" s="1229"/>
      <c r="J38" s="1229"/>
      <c r="K38" s="1235"/>
      <c r="L38" s="1245" t="s">
        <v>825</v>
      </c>
      <c r="M38" s="1245" t="s">
        <v>794</v>
      </c>
      <c r="N38" s="1229"/>
      <c r="O38" s="1245" t="s">
        <v>826</v>
      </c>
      <c r="P38" s="1245" t="s">
        <v>827</v>
      </c>
      <c r="Q38" s="1236"/>
    </row>
    <row r="39" spans="3:17" x14ac:dyDescent="0.25">
      <c r="C39" s="560"/>
      <c r="D39" s="561"/>
      <c r="E39" s="1235"/>
      <c r="F39" s="1235"/>
      <c r="G39" s="1235"/>
      <c r="H39" s="1229"/>
      <c r="I39" s="1246"/>
      <c r="J39" s="1246"/>
      <c r="K39" s="1235"/>
      <c r="L39" s="1247" t="s">
        <v>828</v>
      </c>
      <c r="M39" s="1248">
        <v>5.65</v>
      </c>
      <c r="N39" s="1229"/>
      <c r="O39" s="1247" t="s">
        <v>829</v>
      </c>
      <c r="P39" s="1247">
        <v>50</v>
      </c>
      <c r="Q39" s="1236"/>
    </row>
    <row r="40" spans="3:17" x14ac:dyDescent="0.25">
      <c r="C40" s="560"/>
      <c r="D40" s="561"/>
      <c r="E40" s="1235"/>
      <c r="F40" s="1235"/>
      <c r="G40" s="1235"/>
      <c r="H40" s="1229"/>
      <c r="I40" s="1246"/>
      <c r="J40" s="1246"/>
      <c r="K40" s="1235"/>
      <c r="L40" s="1247">
        <f>1/6</f>
        <v>0.16666666666666666</v>
      </c>
      <c r="M40" s="1249">
        <f>M39*L40</f>
        <v>0.94166666666666665</v>
      </c>
      <c r="N40" s="1229"/>
      <c r="O40" s="1247">
        <v>5.48</v>
      </c>
      <c r="P40" s="1249">
        <f>ROUND(P39*O40,2)</f>
        <v>274</v>
      </c>
      <c r="Q40" s="1236"/>
    </row>
    <row r="41" spans="3:17" x14ac:dyDescent="0.25">
      <c r="C41" s="560"/>
      <c r="D41" s="561"/>
      <c r="E41" s="1235"/>
      <c r="F41" s="1235"/>
      <c r="G41" s="1235"/>
      <c r="H41" s="1229"/>
      <c r="I41" s="1235"/>
      <c r="J41" s="1235"/>
      <c r="K41" s="1235"/>
      <c r="L41" s="1235"/>
      <c r="M41" s="1235"/>
      <c r="N41" s="1235"/>
      <c r="O41" s="1235"/>
      <c r="P41" s="1235"/>
      <c r="Q41" s="1236"/>
    </row>
    <row r="42" spans="3:17" x14ac:dyDescent="0.25">
      <c r="C42" s="560"/>
      <c r="D42" s="561"/>
      <c r="E42" s="1235"/>
      <c r="F42" s="1235"/>
      <c r="G42" s="1235"/>
      <c r="H42" s="1229"/>
      <c r="I42" s="1235"/>
      <c r="J42" s="1235"/>
      <c r="K42" s="1235"/>
      <c r="L42" s="1235"/>
      <c r="M42" s="1235"/>
      <c r="N42" s="1235"/>
      <c r="O42" s="1235"/>
      <c r="P42" s="1235"/>
      <c r="Q42" s="1236"/>
    </row>
    <row r="43" spans="3:17" x14ac:dyDescent="0.25">
      <c r="C43" s="576" t="s">
        <v>830</v>
      </c>
      <c r="D43" s="577" t="s">
        <v>234</v>
      </c>
      <c r="E43" s="677" t="s">
        <v>831</v>
      </c>
      <c r="F43" s="678"/>
      <c r="G43" s="678"/>
      <c r="H43" s="679"/>
      <c r="I43" s="577"/>
      <c r="J43" s="578" t="s">
        <v>239</v>
      </c>
      <c r="K43" s="1250" t="s">
        <v>832</v>
      </c>
      <c r="L43" s="579" t="s">
        <v>833</v>
      </c>
      <c r="M43" s="680" t="s">
        <v>834</v>
      </c>
      <c r="N43" s="680"/>
      <c r="O43" s="680" t="s">
        <v>835</v>
      </c>
      <c r="P43" s="680"/>
      <c r="Q43" s="580" t="s">
        <v>836</v>
      </c>
    </row>
    <row r="44" spans="3:17" x14ac:dyDescent="0.25">
      <c r="C44" s="674" t="s">
        <v>837</v>
      </c>
      <c r="D44" s="675"/>
      <c r="E44" s="676"/>
      <c r="F44" s="581"/>
      <c r="G44" s="581"/>
      <c r="H44" s="581"/>
      <c r="I44" s="581"/>
      <c r="J44" s="1322" t="s">
        <v>838</v>
      </c>
      <c r="K44" s="1251" t="s">
        <v>839</v>
      </c>
      <c r="L44" s="579" t="s">
        <v>840</v>
      </c>
      <c r="M44" s="670" t="s">
        <v>841</v>
      </c>
      <c r="N44" s="671"/>
      <c r="O44" s="1320" t="s">
        <v>841</v>
      </c>
      <c r="P44" s="1321"/>
      <c r="Q44" s="582" t="s">
        <v>841</v>
      </c>
    </row>
    <row r="45" spans="3:17" x14ac:dyDescent="0.25">
      <c r="C45" s="583" t="s">
        <v>842</v>
      </c>
      <c r="D45" s="584" t="s">
        <v>843</v>
      </c>
      <c r="E45" s="666" t="s">
        <v>844</v>
      </c>
      <c r="F45" s="672"/>
      <c r="G45" s="672"/>
      <c r="H45" s="672"/>
      <c r="I45" s="673"/>
      <c r="J45" s="1323">
        <v>1</v>
      </c>
      <c r="K45" s="1323">
        <f>$P$40</f>
        <v>274</v>
      </c>
      <c r="L45" s="1323">
        <f>$O$40</f>
        <v>5.48</v>
      </c>
      <c r="M45" s="1324">
        <v>157.35509999999999</v>
      </c>
      <c r="N45" s="1324"/>
      <c r="O45" s="1324">
        <f>$M$40</f>
        <v>0.94166666666666665</v>
      </c>
      <c r="P45" s="1324"/>
      <c r="Q45" s="1325">
        <f>ROUND(((L45*M45)+(K45*O45))*J45,2)-0.01</f>
        <v>1120.31</v>
      </c>
    </row>
    <row r="46" spans="3:17" x14ac:dyDescent="0.25">
      <c r="C46" s="583" t="s">
        <v>842</v>
      </c>
      <c r="D46" s="584" t="s">
        <v>704</v>
      </c>
      <c r="E46" s="666" t="s">
        <v>845</v>
      </c>
      <c r="F46" s="1252"/>
      <c r="G46" s="1252"/>
      <c r="H46" s="1252"/>
      <c r="I46" s="1253"/>
      <c r="J46" s="1323">
        <v>1</v>
      </c>
      <c r="K46" s="1323">
        <f t="shared" ref="K46:K50" si="0">$P$40</f>
        <v>274</v>
      </c>
      <c r="L46" s="1323">
        <f t="shared" ref="L46:L49" si="1">$O$40</f>
        <v>5.48</v>
      </c>
      <c r="M46" s="1324">
        <v>74.660899999999998</v>
      </c>
      <c r="N46" s="1324"/>
      <c r="O46" s="1324">
        <f t="shared" ref="O46:O50" si="2">$M$40</f>
        <v>0.94166666666666665</v>
      </c>
      <c r="P46" s="1324"/>
      <c r="Q46" s="1326">
        <f>ROUND(((L46*M46)+(K46*O46))*J46,2)-0.01</f>
        <v>667.15</v>
      </c>
    </row>
    <row r="47" spans="3:17" x14ac:dyDescent="0.25">
      <c r="C47" s="583" t="s">
        <v>842</v>
      </c>
      <c r="D47" s="584" t="s">
        <v>846</v>
      </c>
      <c r="E47" s="666" t="s">
        <v>847</v>
      </c>
      <c r="F47" s="1252"/>
      <c r="G47" s="1252"/>
      <c r="H47" s="1252"/>
      <c r="I47" s="1253"/>
      <c r="J47" s="1323">
        <v>1</v>
      </c>
      <c r="K47" s="1323">
        <f t="shared" si="0"/>
        <v>274</v>
      </c>
      <c r="L47" s="1323">
        <f t="shared" si="1"/>
        <v>5.48</v>
      </c>
      <c r="M47" s="1324">
        <v>153.5027</v>
      </c>
      <c r="N47" s="1324"/>
      <c r="O47" s="1324">
        <f t="shared" si="2"/>
        <v>0.94166666666666665</v>
      </c>
      <c r="P47" s="1324"/>
      <c r="Q47" s="1326">
        <f>ROUND(((L47*M47)+(K47*O47))*J47,2)-0.005</f>
        <v>1099.2049999999999</v>
      </c>
    </row>
    <row r="48" spans="3:17" x14ac:dyDescent="0.25">
      <c r="C48" s="583" t="s">
        <v>842</v>
      </c>
      <c r="D48" s="584" t="s">
        <v>848</v>
      </c>
      <c r="E48" s="666" t="s">
        <v>849</v>
      </c>
      <c r="F48" s="1252"/>
      <c r="G48" s="1252"/>
      <c r="H48" s="1252"/>
      <c r="I48" s="1253"/>
      <c r="J48" s="1323">
        <v>1</v>
      </c>
      <c r="K48" s="1323">
        <f t="shared" si="0"/>
        <v>274</v>
      </c>
      <c r="L48" s="1323">
        <f t="shared" si="1"/>
        <v>5.48</v>
      </c>
      <c r="M48" s="1324">
        <v>53.516800000000003</v>
      </c>
      <c r="N48" s="1324"/>
      <c r="O48" s="1324">
        <f t="shared" si="2"/>
        <v>0.94166666666666665</v>
      </c>
      <c r="P48" s="1324"/>
      <c r="Q48" s="1326">
        <f>ROUND(((L48*M48)+(K48*O48))*J48,2)</f>
        <v>551.29</v>
      </c>
    </row>
    <row r="49" spans="3:17" x14ac:dyDescent="0.25">
      <c r="C49" s="583" t="s">
        <v>842</v>
      </c>
      <c r="D49" s="584" t="s">
        <v>702</v>
      </c>
      <c r="E49" s="666" t="s">
        <v>850</v>
      </c>
      <c r="F49" s="1252"/>
      <c r="G49" s="1252"/>
      <c r="H49" s="1252"/>
      <c r="I49" s="1253"/>
      <c r="J49" s="1323">
        <v>1</v>
      </c>
      <c r="K49" s="1323">
        <f t="shared" si="0"/>
        <v>274</v>
      </c>
      <c r="L49" s="1323">
        <f t="shared" si="1"/>
        <v>5.48</v>
      </c>
      <c r="M49" s="1324">
        <v>56.935899999999997</v>
      </c>
      <c r="N49" s="1324"/>
      <c r="O49" s="1324">
        <f t="shared" si="2"/>
        <v>0.94166666666666665</v>
      </c>
      <c r="P49" s="1324"/>
      <c r="Q49" s="1326">
        <f t="shared" ref="Q49:Q50" si="3">ROUND(((L49*M49)+(K49*O49))*J49,2)</f>
        <v>570.03</v>
      </c>
    </row>
    <row r="50" spans="3:17" x14ac:dyDescent="0.25">
      <c r="C50" s="583" t="s">
        <v>842</v>
      </c>
      <c r="D50" s="584" t="s">
        <v>706</v>
      </c>
      <c r="E50" s="666" t="s">
        <v>901</v>
      </c>
      <c r="F50" s="1252"/>
      <c r="G50" s="1252"/>
      <c r="H50" s="1252"/>
      <c r="I50" s="1253"/>
      <c r="J50" s="585">
        <v>1</v>
      </c>
      <c r="K50" s="1323">
        <f t="shared" si="0"/>
        <v>274</v>
      </c>
      <c r="L50" s="1323">
        <f>$O$40</f>
        <v>5.48</v>
      </c>
      <c r="M50" s="1324">
        <v>65.127499999999998</v>
      </c>
      <c r="N50" s="1324"/>
      <c r="O50" s="1324">
        <f t="shared" si="2"/>
        <v>0.94166666666666665</v>
      </c>
      <c r="P50" s="1324"/>
      <c r="Q50" s="1326">
        <f t="shared" si="3"/>
        <v>614.91999999999996</v>
      </c>
    </row>
    <row r="51" spans="3:17" x14ac:dyDescent="0.25">
      <c r="C51" s="586"/>
      <c r="D51" s="587"/>
      <c r="E51" s="587"/>
      <c r="F51" s="1254"/>
      <c r="G51" s="1254"/>
      <c r="H51" s="1254"/>
      <c r="I51" s="1254"/>
      <c r="J51" s="1254"/>
      <c r="K51" s="1254"/>
      <c r="L51" s="1254"/>
      <c r="M51" s="1254"/>
      <c r="N51" s="584"/>
      <c r="O51" s="588"/>
      <c r="P51" s="589"/>
      <c r="Q51" s="590"/>
    </row>
    <row r="52" spans="3:17" x14ac:dyDescent="0.25">
      <c r="C52" s="667" t="s">
        <v>851</v>
      </c>
      <c r="D52" s="668"/>
      <c r="E52" s="668"/>
      <c r="F52" s="668"/>
      <c r="G52" s="668"/>
      <c r="H52" s="668"/>
      <c r="I52" s="668"/>
      <c r="J52" s="668"/>
      <c r="K52" s="668"/>
      <c r="L52" s="668"/>
      <c r="M52" s="668"/>
      <c r="N52" s="668"/>
      <c r="O52" s="668"/>
      <c r="P52" s="669"/>
      <c r="Q52" s="591">
        <f>SUM(Q45:Q50)</f>
        <v>4622.9049999999997</v>
      </c>
    </row>
    <row r="53" spans="3:17" x14ac:dyDescent="0.25">
      <c r="C53" s="674" t="s">
        <v>837</v>
      </c>
      <c r="D53" s="675"/>
      <c r="E53" s="676"/>
      <c r="F53" s="581"/>
      <c r="G53" s="581"/>
      <c r="H53" s="581"/>
      <c r="I53" s="581"/>
      <c r="J53" s="578" t="s">
        <v>838</v>
      </c>
      <c r="K53" s="578" t="s">
        <v>852</v>
      </c>
      <c r="L53" s="579" t="s">
        <v>840</v>
      </c>
      <c r="M53" s="670" t="s">
        <v>841</v>
      </c>
      <c r="N53" s="671"/>
      <c r="O53" s="670" t="s">
        <v>841</v>
      </c>
      <c r="P53" s="671"/>
      <c r="Q53" s="582" t="s">
        <v>841</v>
      </c>
    </row>
    <row r="54" spans="3:17" x14ac:dyDescent="0.25">
      <c r="C54" s="586" t="s">
        <v>842</v>
      </c>
      <c r="D54" s="584" t="s">
        <v>853</v>
      </c>
      <c r="E54" s="666" t="s">
        <v>854</v>
      </c>
      <c r="F54" s="1252"/>
      <c r="G54" s="1252"/>
      <c r="H54" s="1252"/>
      <c r="I54" s="1253"/>
      <c r="J54" s="585" t="s">
        <v>739</v>
      </c>
      <c r="K54" s="585">
        <v>4</v>
      </c>
      <c r="L54" s="585">
        <f t="shared" ref="L54:L56" si="4">$O$40</f>
        <v>5.48</v>
      </c>
      <c r="M54" s="665"/>
      <c r="N54" s="665"/>
      <c r="O54" s="1324">
        <v>27.008400000000002</v>
      </c>
      <c r="P54" s="1324"/>
      <c r="Q54" s="1326">
        <f>ROUND(K54*L54*O54,2)</f>
        <v>592.02</v>
      </c>
    </row>
    <row r="55" spans="3:17" x14ac:dyDescent="0.25">
      <c r="C55" s="586" t="s">
        <v>842</v>
      </c>
      <c r="D55" s="584" t="s">
        <v>855</v>
      </c>
      <c r="E55" s="666" t="s">
        <v>856</v>
      </c>
      <c r="F55" s="1252"/>
      <c r="G55" s="1252"/>
      <c r="H55" s="1252"/>
      <c r="I55" s="1253"/>
      <c r="J55" s="585" t="s">
        <v>739</v>
      </c>
      <c r="K55" s="585">
        <v>7</v>
      </c>
      <c r="L55" s="585">
        <f t="shared" si="4"/>
        <v>5.48</v>
      </c>
      <c r="M55" s="665"/>
      <c r="N55" s="665"/>
      <c r="O55" s="1324">
        <v>24.1187</v>
      </c>
      <c r="P55" s="1324"/>
      <c r="Q55" s="1326">
        <f>ROUND(K55*L55*O55,2)</f>
        <v>925.19</v>
      </c>
    </row>
    <row r="56" spans="3:17" x14ac:dyDescent="0.25">
      <c r="C56" s="586" t="s">
        <v>842</v>
      </c>
      <c r="D56" s="584" t="s">
        <v>913</v>
      </c>
      <c r="E56" s="666" t="s">
        <v>912</v>
      </c>
      <c r="F56" s="1252"/>
      <c r="G56" s="1252"/>
      <c r="H56" s="1252"/>
      <c r="I56" s="1253"/>
      <c r="J56" s="585" t="s">
        <v>739</v>
      </c>
      <c r="K56" s="585">
        <v>2.0299999999999998</v>
      </c>
      <c r="L56" s="585">
        <f t="shared" si="4"/>
        <v>5.48</v>
      </c>
      <c r="M56" s="665"/>
      <c r="N56" s="665"/>
      <c r="O56" s="1324">
        <f>15.862</f>
        <v>15.862</v>
      </c>
      <c r="P56" s="1324"/>
      <c r="Q56" s="1326">
        <f>ROUND(K56*L56*O56,2)</f>
        <v>176.46</v>
      </c>
    </row>
    <row r="57" spans="3:17" x14ac:dyDescent="0.25">
      <c r="C57" s="667" t="s">
        <v>857</v>
      </c>
      <c r="D57" s="668"/>
      <c r="E57" s="668"/>
      <c r="F57" s="668"/>
      <c r="G57" s="668"/>
      <c r="H57" s="668"/>
      <c r="I57" s="668"/>
      <c r="J57" s="668"/>
      <c r="K57" s="668"/>
      <c r="L57" s="668"/>
      <c r="M57" s="668"/>
      <c r="N57" s="668"/>
      <c r="O57" s="668"/>
      <c r="P57" s="669"/>
      <c r="Q57" s="591">
        <f>SUM(Q54:Q56)</f>
        <v>1693.67</v>
      </c>
    </row>
    <row r="58" spans="3:17" x14ac:dyDescent="0.25">
      <c r="C58" s="667" t="s">
        <v>858</v>
      </c>
      <c r="D58" s="668"/>
      <c r="E58" s="668"/>
      <c r="F58" s="668"/>
      <c r="G58" s="668"/>
      <c r="H58" s="668"/>
      <c r="I58" s="668"/>
      <c r="J58" s="668"/>
      <c r="K58" s="668"/>
      <c r="L58" s="668"/>
      <c r="M58" s="668"/>
      <c r="N58" s="668"/>
      <c r="O58" s="668"/>
      <c r="P58" s="669"/>
      <c r="Q58" s="591">
        <f>Q52+Q57</f>
        <v>6316.5749999999998</v>
      </c>
    </row>
    <row r="59" spans="3:17" x14ac:dyDescent="0.25">
      <c r="C59" s="1234"/>
      <c r="D59" s="554"/>
      <c r="E59" s="1235"/>
      <c r="F59" s="1235"/>
      <c r="G59" s="1235"/>
      <c r="H59" s="1235"/>
      <c r="I59" s="1235"/>
      <c r="J59" s="1235"/>
      <c r="K59" s="1235"/>
      <c r="L59" s="1235"/>
      <c r="M59" s="1235"/>
      <c r="N59" s="1235"/>
      <c r="O59" s="1235"/>
      <c r="P59" s="1235"/>
      <c r="Q59" s="1236"/>
    </row>
    <row r="60" spans="3:17" x14ac:dyDescent="0.25">
      <c r="C60" s="1233" t="s">
        <v>859</v>
      </c>
      <c r="D60" s="1235"/>
      <c r="E60" s="1229"/>
      <c r="F60" s="1229"/>
      <c r="G60" s="1235"/>
      <c r="H60" s="592"/>
      <c r="I60" s="1235"/>
      <c r="J60" s="592"/>
      <c r="K60" s="1235"/>
      <c r="L60" s="592"/>
      <c r="M60" s="1235"/>
      <c r="N60" s="592"/>
      <c r="O60" s="1235"/>
      <c r="P60" s="1229"/>
      <c r="Q60" s="1241"/>
    </row>
    <row r="61" spans="3:17" x14ac:dyDescent="0.25">
      <c r="C61" s="1233" t="s">
        <v>860</v>
      </c>
      <c r="D61" s="1229"/>
      <c r="E61" s="1229"/>
      <c r="F61" s="1229"/>
      <c r="G61" s="1229"/>
      <c r="H61" s="1229"/>
      <c r="I61" s="1229"/>
      <c r="J61" s="1229"/>
      <c r="K61" s="1229"/>
      <c r="L61" s="1229"/>
      <c r="M61" s="1229"/>
      <c r="N61" s="1232"/>
      <c r="O61" s="1229"/>
      <c r="P61" s="1229"/>
      <c r="Q61" s="1230"/>
    </row>
    <row r="62" spans="3:17" x14ac:dyDescent="0.25">
      <c r="C62" s="1233" t="s">
        <v>861</v>
      </c>
      <c r="D62" s="1229"/>
      <c r="E62" s="1229"/>
      <c r="F62" s="1229"/>
      <c r="G62" s="1229"/>
      <c r="H62" s="1229"/>
      <c r="I62" s="1229"/>
      <c r="J62" s="1229"/>
      <c r="K62" s="1229"/>
      <c r="L62" s="1229"/>
      <c r="M62" s="1229"/>
      <c r="N62" s="1232"/>
      <c r="O62" s="1229"/>
      <c r="P62" s="1229"/>
      <c r="Q62" s="1230"/>
    </row>
    <row r="63" spans="3:17" x14ac:dyDescent="0.25">
      <c r="C63" s="1233" t="s">
        <v>947</v>
      </c>
      <c r="D63" s="1229"/>
      <c r="E63" s="1229"/>
      <c r="F63" s="1229"/>
      <c r="G63" s="1229"/>
      <c r="H63" s="1229"/>
      <c r="I63" s="1229"/>
      <c r="J63" s="1229"/>
      <c r="K63" s="1229"/>
      <c r="L63" s="1229"/>
      <c r="M63" s="1229"/>
      <c r="N63" s="1232"/>
      <c r="O63" s="1229"/>
      <c r="P63" s="1229"/>
      <c r="Q63" s="1230"/>
    </row>
    <row r="64" spans="3:17" x14ac:dyDescent="0.25">
      <c r="C64" s="1233" t="s">
        <v>948</v>
      </c>
      <c r="D64" s="1229"/>
      <c r="E64" s="1229"/>
      <c r="F64" s="1229"/>
      <c r="G64" s="1229"/>
      <c r="H64" s="1229"/>
      <c r="I64" s="1229"/>
      <c r="J64" s="1229"/>
      <c r="K64" s="1229"/>
      <c r="L64" s="1229"/>
      <c r="M64" s="1229"/>
      <c r="N64" s="1232"/>
      <c r="O64" s="1229"/>
      <c r="P64" s="1229"/>
      <c r="Q64" s="1230"/>
    </row>
    <row r="65" spans="3:17" x14ac:dyDescent="0.25">
      <c r="C65" s="1233"/>
      <c r="D65" s="1229"/>
      <c r="E65" s="1229"/>
      <c r="F65" s="1229"/>
      <c r="G65" s="1229"/>
      <c r="H65" s="1229"/>
      <c r="I65" s="1229"/>
      <c r="J65" s="1229"/>
      <c r="K65" s="1229"/>
      <c r="L65" s="1229"/>
      <c r="M65" s="1229"/>
      <c r="N65" s="1232"/>
      <c r="O65" s="1229"/>
      <c r="P65" s="1229"/>
      <c r="Q65" s="1230"/>
    </row>
    <row r="66" spans="3:17" x14ac:dyDescent="0.25">
      <c r="C66" s="552" t="s">
        <v>8</v>
      </c>
      <c r="D66" s="553" t="str">
        <f>'PLANILHA ORÇAMENTÁRIA'!C48</f>
        <v>Administração Local</v>
      </c>
      <c r="E66" s="1229"/>
      <c r="F66" s="1229"/>
      <c r="G66" s="1229"/>
      <c r="H66" s="1229"/>
      <c r="I66" s="1229"/>
      <c r="J66" s="1229"/>
      <c r="K66" s="1229"/>
      <c r="L66" s="1229"/>
      <c r="M66" s="1229"/>
      <c r="N66" s="1229"/>
      <c r="O66" s="1229"/>
      <c r="P66" s="1229"/>
      <c r="Q66" s="1230"/>
    </row>
    <row r="67" spans="3:17" x14ac:dyDescent="0.25">
      <c r="C67" s="557"/>
      <c r="D67" s="554"/>
      <c r="E67" s="1235"/>
      <c r="F67" s="1235"/>
      <c r="G67" s="1235"/>
      <c r="H67" s="1235"/>
      <c r="I67" s="1235"/>
      <c r="J67" s="1235"/>
      <c r="K67" s="1235"/>
      <c r="L67" s="1235"/>
      <c r="M67" s="1235"/>
      <c r="N67" s="1235"/>
      <c r="O67" s="1235"/>
      <c r="P67" s="1235"/>
      <c r="Q67" s="556"/>
    </row>
    <row r="68" spans="3:17" x14ac:dyDescent="0.25">
      <c r="C68" s="558"/>
      <c r="D68" s="554"/>
      <c r="E68" s="1235"/>
      <c r="F68" s="1235"/>
      <c r="G68" s="1235"/>
      <c r="H68" s="1235"/>
      <c r="I68" s="1235"/>
      <c r="J68" s="559" t="s">
        <v>809</v>
      </c>
      <c r="K68" s="1235"/>
      <c r="L68" s="1235"/>
      <c r="M68" s="1235"/>
      <c r="N68" s="1235"/>
      <c r="O68" s="1235"/>
      <c r="P68" s="1235"/>
      <c r="Q68" s="556"/>
    </row>
    <row r="69" spans="3:17" x14ac:dyDescent="0.25">
      <c r="C69" s="560"/>
      <c r="D69" s="561"/>
      <c r="E69" s="1235"/>
      <c r="F69" s="1235"/>
      <c r="G69" s="1235"/>
      <c r="H69" s="1229"/>
      <c r="I69" s="1235"/>
      <c r="J69" s="1235"/>
      <c r="K69" s="1235"/>
      <c r="L69" s="1235"/>
      <c r="M69" s="1235"/>
      <c r="N69" s="1235"/>
      <c r="O69" s="1235"/>
      <c r="P69" s="1235"/>
      <c r="Q69" s="1236"/>
    </row>
    <row r="70" spans="3:17" x14ac:dyDescent="0.25">
      <c r="C70" s="1234"/>
      <c r="D70" s="1237"/>
      <c r="E70" s="562" t="s">
        <v>862</v>
      </c>
      <c r="F70" s="1235"/>
      <c r="G70" s="1235"/>
      <c r="H70" s="1235"/>
      <c r="I70" s="1235"/>
      <c r="J70" s="1235"/>
      <c r="K70" s="1235"/>
      <c r="L70" s="1235"/>
      <c r="M70" s="1235"/>
      <c r="N70" s="563" t="s">
        <v>166</v>
      </c>
      <c r="O70" s="564" t="s">
        <v>811</v>
      </c>
      <c r="P70" s="565" t="s">
        <v>812</v>
      </c>
      <c r="Q70" s="566" t="s">
        <v>813</v>
      </c>
    </row>
    <row r="71" spans="3:17" x14ac:dyDescent="0.25">
      <c r="C71" s="567"/>
      <c r="D71" s="594">
        <v>90779</v>
      </c>
      <c r="E71" s="568" t="s">
        <v>863</v>
      </c>
      <c r="F71" s="1235"/>
      <c r="G71" s="1235"/>
      <c r="H71" s="1235"/>
      <c r="I71" s="1235"/>
      <c r="J71" s="1235"/>
      <c r="K71" s="1235"/>
      <c r="L71" s="1235"/>
      <c r="M71" s="1235"/>
      <c r="N71" s="1327" t="s">
        <v>739</v>
      </c>
      <c r="O71" s="1328">
        <v>203</v>
      </c>
      <c r="P71" s="1329">
        <v>125.17</v>
      </c>
      <c r="Q71" s="1330">
        <f>ROUND(P71*O71,2)</f>
        <v>25409.51</v>
      </c>
    </row>
    <row r="72" spans="3:17" x14ac:dyDescent="0.25">
      <c r="C72" s="567"/>
      <c r="D72" s="563">
        <v>90776</v>
      </c>
      <c r="E72" s="568" t="s">
        <v>864</v>
      </c>
      <c r="F72" s="1235"/>
      <c r="G72" s="1235"/>
      <c r="H72" s="1235"/>
      <c r="I72" s="1235"/>
      <c r="J72" s="1235"/>
      <c r="K72" s="1235"/>
      <c r="L72" s="1235"/>
      <c r="M72" s="1235"/>
      <c r="N72" s="563" t="s">
        <v>739</v>
      </c>
      <c r="O72" s="1331">
        <v>220</v>
      </c>
      <c r="P72" s="1332">
        <v>22</v>
      </c>
      <c r="Q72" s="1330">
        <f>ROUND(P72*O72,2)</f>
        <v>4840</v>
      </c>
    </row>
    <row r="73" spans="3:17" s="34" customFormat="1" x14ac:dyDescent="0.25">
      <c r="C73" s="567"/>
      <c r="D73" s="563">
        <v>88255</v>
      </c>
      <c r="E73" s="568" t="s">
        <v>867</v>
      </c>
      <c r="F73" s="568"/>
      <c r="G73" s="568"/>
      <c r="H73" s="568"/>
      <c r="I73" s="568"/>
      <c r="J73" s="1235"/>
      <c r="K73" s="1235"/>
      <c r="L73" s="1235"/>
      <c r="M73" s="1235"/>
      <c r="N73" s="563" t="s">
        <v>739</v>
      </c>
      <c r="O73" s="1331">
        <v>220</v>
      </c>
      <c r="P73" s="1332">
        <v>18.98</v>
      </c>
      <c r="Q73" s="1330">
        <f>ROUND(P73*O73,2)</f>
        <v>4175.6000000000004</v>
      </c>
    </row>
    <row r="74" spans="3:17" s="618" customFormat="1" x14ac:dyDescent="0.25">
      <c r="C74" s="567"/>
      <c r="D74" s="563"/>
      <c r="E74" s="562" t="s">
        <v>921</v>
      </c>
      <c r="F74" s="568"/>
      <c r="G74" s="568"/>
      <c r="H74" s="568"/>
      <c r="I74" s="568"/>
      <c r="J74" s="1235"/>
      <c r="K74" s="1235"/>
      <c r="L74" s="1235"/>
      <c r="M74" s="1235"/>
      <c r="N74" s="563"/>
      <c r="O74" s="1331"/>
      <c r="P74" s="565"/>
      <c r="Q74" s="566"/>
    </row>
    <row r="75" spans="3:17" s="34" customFormat="1" x14ac:dyDescent="0.25">
      <c r="C75" s="567"/>
      <c r="D75" s="563" t="s">
        <v>868</v>
      </c>
      <c r="E75" s="568" t="s">
        <v>869</v>
      </c>
      <c r="F75" s="568"/>
      <c r="G75" s="568"/>
      <c r="H75" s="568"/>
      <c r="I75" s="568"/>
      <c r="J75" s="1235"/>
      <c r="K75" s="1235"/>
      <c r="L75" s="1235"/>
      <c r="M75" s="1235"/>
      <c r="N75" s="563" t="s">
        <v>470</v>
      </c>
      <c r="O75" s="1331">
        <f>1/5</f>
        <v>0.2</v>
      </c>
      <c r="P75" s="1332">
        <f>234.05</f>
        <v>234.05</v>
      </c>
      <c r="Q75" s="1330">
        <f>ROUND(P75*O75,2)</f>
        <v>46.81</v>
      </c>
    </row>
    <row r="76" spans="3:17" x14ac:dyDescent="0.25">
      <c r="C76" s="567"/>
      <c r="D76" s="568"/>
      <c r="E76" s="568"/>
      <c r="F76" s="1235"/>
      <c r="G76" s="1235"/>
      <c r="H76" s="1235"/>
      <c r="I76" s="1235"/>
      <c r="J76" s="1235"/>
      <c r="K76" s="1235"/>
      <c r="L76" s="1235"/>
      <c r="M76" s="1235"/>
      <c r="N76" s="563"/>
      <c r="O76" s="564"/>
      <c r="P76" s="565"/>
      <c r="Q76" s="566"/>
    </row>
    <row r="77" spans="3:17" ht="18.95" customHeight="1" x14ac:dyDescent="0.25">
      <c r="C77" s="1234"/>
      <c r="D77" s="1235"/>
      <c r="E77" s="1235"/>
      <c r="F77" s="595" t="s">
        <v>862</v>
      </c>
      <c r="G77" s="1239"/>
      <c r="H77" s="572"/>
      <c r="I77" s="595" t="s">
        <v>921</v>
      </c>
      <c r="J77" s="1229"/>
      <c r="K77" s="572" t="s">
        <v>813</v>
      </c>
      <c r="L77" s="572"/>
      <c r="M77" s="1239"/>
      <c r="N77" s="1256"/>
      <c r="O77" s="1256"/>
      <c r="P77" s="1256"/>
      <c r="Q77" s="1257"/>
    </row>
    <row r="78" spans="3:17" ht="18.95" customHeight="1" x14ac:dyDescent="0.25">
      <c r="C78" s="1234"/>
      <c r="D78" s="554" t="s">
        <v>822</v>
      </c>
      <c r="E78" s="1235"/>
      <c r="F78" s="1235"/>
      <c r="G78" s="1235"/>
      <c r="H78" s="1235"/>
      <c r="I78" s="1235"/>
      <c r="J78" s="1229"/>
      <c r="K78" s="573"/>
      <c r="L78" s="1235"/>
      <c r="M78" s="1235"/>
      <c r="N78" s="1256"/>
      <c r="O78" s="1256"/>
      <c r="P78" s="1256"/>
      <c r="Q78" s="1257"/>
    </row>
    <row r="79" spans="3:17" x14ac:dyDescent="0.25">
      <c r="C79" s="1234"/>
      <c r="D79" s="1235"/>
      <c r="E79" s="1235"/>
      <c r="F79" s="573">
        <f>SUM(Q71:Q73)</f>
        <v>34425.11</v>
      </c>
      <c r="G79" s="1235"/>
      <c r="H79" s="592"/>
      <c r="I79" s="592">
        <f>Q75</f>
        <v>46.81</v>
      </c>
      <c r="J79" s="1229"/>
      <c r="K79" s="574">
        <f>SUM(F79:I79)</f>
        <v>34471.919999999998</v>
      </c>
      <c r="L79" s="592"/>
      <c r="M79" s="1235"/>
      <c r="N79" s="1229"/>
      <c r="O79" s="1229"/>
      <c r="P79" s="1229"/>
      <c r="Q79" s="1241"/>
    </row>
    <row r="80" spans="3:17" s="618" customFormat="1" x14ac:dyDescent="0.25">
      <c r="C80" s="1234"/>
      <c r="D80" s="1235"/>
      <c r="E80" s="1235"/>
      <c r="F80" s="573"/>
      <c r="G80" s="1235"/>
      <c r="H80" s="592"/>
      <c r="I80" s="592"/>
      <c r="J80" s="1229"/>
      <c r="K80" s="574"/>
      <c r="L80" s="592"/>
      <c r="M80" s="1235"/>
      <c r="N80" s="1229"/>
      <c r="O80" s="1229"/>
      <c r="P80" s="1229"/>
      <c r="Q80" s="1241"/>
    </row>
    <row r="81" spans="3:17" s="618" customFormat="1" x14ac:dyDescent="0.25">
      <c r="C81" s="552" t="s">
        <v>10</v>
      </c>
      <c r="D81" s="553" t="str">
        <f>'PLANILHA ORÇAMENTÁRIA'!C52</f>
        <v>TRANSPORTE DE MATERIAL -BOTA-FORA, DMT ATE 8KM</v>
      </c>
      <c r="E81" s="1229"/>
      <c r="F81" s="573"/>
      <c r="G81" s="1235"/>
      <c r="H81" s="592"/>
      <c r="I81" s="592"/>
      <c r="J81" s="1229"/>
      <c r="K81" s="574"/>
      <c r="L81" s="592"/>
      <c r="M81" s="1235"/>
      <c r="N81" s="1229"/>
      <c r="O81" s="1229"/>
      <c r="P81" s="1229"/>
      <c r="Q81" s="1241"/>
    </row>
    <row r="82" spans="3:17" s="618" customFormat="1" x14ac:dyDescent="0.25">
      <c r="C82" s="1234"/>
      <c r="D82" s="1235"/>
      <c r="E82" s="1235"/>
      <c r="F82" s="573"/>
      <c r="G82" s="1235"/>
      <c r="H82" s="592"/>
      <c r="I82" s="592"/>
      <c r="J82" s="1229"/>
      <c r="K82" s="574"/>
      <c r="L82" s="592"/>
      <c r="M82" s="1235"/>
      <c r="N82" s="1229"/>
      <c r="O82" s="1229"/>
      <c r="P82" s="1229"/>
      <c r="Q82" s="1241"/>
    </row>
    <row r="83" spans="3:17" s="618" customFormat="1" x14ac:dyDescent="0.25">
      <c r="C83" s="1234"/>
      <c r="D83" s="1235"/>
      <c r="E83" s="562" t="s">
        <v>397</v>
      </c>
      <c r="F83" s="573"/>
      <c r="G83" s="1235"/>
      <c r="H83" s="592"/>
      <c r="I83" s="592"/>
      <c r="J83" s="1229"/>
      <c r="K83" s="574"/>
      <c r="L83" s="592"/>
      <c r="M83" s="1235"/>
      <c r="N83" s="1229"/>
      <c r="O83" s="1229"/>
      <c r="P83" s="1229"/>
      <c r="Q83" s="1241"/>
    </row>
    <row r="84" spans="3:17" s="618" customFormat="1" x14ac:dyDescent="0.25">
      <c r="C84" s="1234"/>
      <c r="D84" s="1258" t="s">
        <v>848</v>
      </c>
      <c r="E84" s="568" t="s">
        <v>922</v>
      </c>
      <c r="F84" s="573"/>
      <c r="G84" s="1235"/>
      <c r="H84" s="592"/>
      <c r="I84" s="592"/>
      <c r="J84" s="1229"/>
      <c r="K84" s="574"/>
      <c r="L84" s="592"/>
      <c r="M84" s="1235"/>
      <c r="N84" s="626" t="s">
        <v>739</v>
      </c>
      <c r="O84" s="1333">
        <v>1</v>
      </c>
      <c r="P84" s="1334">
        <v>188.78809999999999</v>
      </c>
      <c r="Q84" s="1335">
        <f t="shared" ref="Q84" si="5">O84*P84</f>
        <v>188.78809999999999</v>
      </c>
    </row>
    <row r="85" spans="3:17" s="618" customFormat="1" ht="26.25" customHeight="1" x14ac:dyDescent="0.25">
      <c r="C85" s="1234"/>
      <c r="D85" s="1235"/>
      <c r="E85" s="1235"/>
      <c r="F85" s="573"/>
      <c r="G85" s="1235"/>
      <c r="H85" s="592"/>
      <c r="I85" s="592"/>
      <c r="J85" s="1229"/>
      <c r="K85" s="574"/>
      <c r="L85" s="592"/>
      <c r="M85" s="1235"/>
      <c r="N85" s="1259" t="s">
        <v>364</v>
      </c>
      <c r="O85" s="1259"/>
      <c r="P85" s="1259"/>
      <c r="Q85" s="1336">
        <f>SUM(Q84:Q84)</f>
        <v>188.78809999999999</v>
      </c>
    </row>
    <row r="86" spans="3:17" s="618" customFormat="1" x14ac:dyDescent="0.25">
      <c r="C86" s="1234"/>
      <c r="D86" s="1235"/>
      <c r="E86" s="1235"/>
      <c r="F86" s="573"/>
      <c r="G86" s="1235"/>
      <c r="H86" s="592"/>
      <c r="I86" s="592"/>
      <c r="J86" s="1229"/>
      <c r="K86" s="574"/>
      <c r="L86" s="592"/>
      <c r="M86" s="1235"/>
      <c r="N86" s="1261" t="s">
        <v>371</v>
      </c>
      <c r="O86" s="1261"/>
      <c r="P86" s="1262">
        <v>0</v>
      </c>
      <c r="Q86" s="1336">
        <f>P86*Q85</f>
        <v>0</v>
      </c>
    </row>
    <row r="87" spans="3:17" s="618" customFormat="1" x14ac:dyDescent="0.25">
      <c r="C87" s="1234"/>
      <c r="D87" s="1235"/>
      <c r="E87" s="1235"/>
      <c r="F87" s="573"/>
      <c r="G87" s="1235"/>
      <c r="H87" s="592"/>
      <c r="I87" s="592"/>
      <c r="J87" s="1229"/>
      <c r="K87" s="574"/>
      <c r="L87" s="592"/>
      <c r="M87" s="1235"/>
      <c r="N87" s="1263"/>
      <c r="O87" s="1261" t="s">
        <v>372</v>
      </c>
      <c r="P87" s="1261"/>
      <c r="Q87" s="1336">
        <f>Q85</f>
        <v>188.78809999999999</v>
      </c>
    </row>
    <row r="88" spans="3:17" s="618" customFormat="1" ht="21.75" customHeight="1" x14ac:dyDescent="0.25">
      <c r="C88" s="1234"/>
      <c r="D88" s="1235"/>
      <c r="E88" s="1235"/>
      <c r="F88" s="573"/>
      <c r="G88" s="1235"/>
      <c r="H88" s="592"/>
      <c r="I88" s="592"/>
      <c r="J88" s="1229"/>
      <c r="K88" s="574"/>
      <c r="L88" s="592"/>
      <c r="M88" s="1235"/>
      <c r="N88" s="1263"/>
      <c r="O88" s="1261" t="s">
        <v>373</v>
      </c>
      <c r="P88" s="1261"/>
      <c r="Q88" s="1336">
        <f>Q87/249</f>
        <v>0.75818514056224895</v>
      </c>
    </row>
    <row r="89" spans="3:17" s="618" customFormat="1" x14ac:dyDescent="0.25">
      <c r="C89" s="1234"/>
      <c r="D89" s="1235"/>
      <c r="E89" s="1235"/>
      <c r="F89" s="573"/>
      <c r="G89" s="1235"/>
      <c r="H89" s="592"/>
      <c r="I89" s="592"/>
      <c r="J89" s="1229"/>
      <c r="K89" s="574"/>
      <c r="L89" s="592"/>
      <c r="M89" s="1235"/>
      <c r="N89" s="1263"/>
      <c r="O89" s="1261" t="s">
        <v>711</v>
      </c>
      <c r="P89" s="1261"/>
      <c r="Q89" s="1336">
        <v>2.0500000000000001E-2</v>
      </c>
    </row>
    <row r="90" spans="3:17" s="618" customFormat="1" x14ac:dyDescent="0.25">
      <c r="C90" s="1234"/>
      <c r="D90" s="1235"/>
      <c r="E90" s="1235"/>
      <c r="F90" s="573"/>
      <c r="G90" s="1235"/>
      <c r="H90" s="592"/>
      <c r="I90" s="592"/>
      <c r="J90" s="1229"/>
      <c r="K90" s="574"/>
      <c r="L90" s="592"/>
      <c r="M90" s="1235"/>
      <c r="N90" s="1263"/>
      <c r="O90" s="1261" t="s">
        <v>384</v>
      </c>
      <c r="P90" s="1261"/>
      <c r="Q90" s="1337">
        <f>Q88+Q89</f>
        <v>0.77868514056224891</v>
      </c>
    </row>
    <row r="91" spans="3:17" s="618" customFormat="1" x14ac:dyDescent="0.25">
      <c r="C91" s="1234"/>
      <c r="D91" s="1235"/>
      <c r="E91" s="1235"/>
      <c r="F91" s="573"/>
      <c r="G91" s="1235"/>
      <c r="H91" s="592"/>
      <c r="I91" s="592"/>
      <c r="J91" s="1229"/>
      <c r="K91" s="574"/>
      <c r="L91" s="592"/>
      <c r="M91" s="1235"/>
      <c r="N91" s="1263"/>
      <c r="O91" s="1261" t="s">
        <v>226</v>
      </c>
      <c r="P91" s="1261"/>
      <c r="Q91" s="1337">
        <f>0.26*Q90</f>
        <v>0.20245813654618472</v>
      </c>
    </row>
    <row r="92" spans="3:17" s="618" customFormat="1" x14ac:dyDescent="0.25">
      <c r="C92" s="1234"/>
      <c r="D92" s="1235"/>
      <c r="E92" s="1235"/>
      <c r="F92" s="573"/>
      <c r="G92" s="1235"/>
      <c r="H92" s="592"/>
      <c r="I92" s="592"/>
      <c r="J92" s="1229"/>
      <c r="K92" s="574"/>
      <c r="L92" s="592"/>
      <c r="M92" s="1235"/>
      <c r="N92" s="1265" t="s">
        <v>923</v>
      </c>
      <c r="O92" s="1265"/>
      <c r="P92" s="1338">
        <f>Q90+Q91</f>
        <v>0.98114327710843363</v>
      </c>
      <c r="Q92" s="1339"/>
    </row>
    <row r="93" spans="3:17" s="618" customFormat="1" x14ac:dyDescent="0.25">
      <c r="C93" s="1234"/>
      <c r="D93" s="1235"/>
      <c r="E93" s="1235"/>
      <c r="F93" s="573"/>
      <c r="G93" s="1235"/>
      <c r="H93" s="592"/>
      <c r="I93" s="592"/>
      <c r="J93" s="1229"/>
      <c r="K93" s="574"/>
      <c r="L93" s="592"/>
      <c r="M93" s="1235"/>
      <c r="N93" s="1229"/>
      <c r="O93" s="1229"/>
      <c r="P93" s="1229"/>
      <c r="Q93" s="1241"/>
    </row>
    <row r="94" spans="3:17" s="618" customFormat="1" x14ac:dyDescent="0.25">
      <c r="C94" s="552" t="s">
        <v>478</v>
      </c>
      <c r="D94" s="553" t="str">
        <f>'PLANILHA ORÇAMENTÁRIA'!C53</f>
        <v>Escavação, carga e transporte de material de 1ª categoria - DMT de 2.500 a 3.000 m - caminho de serviço em revestimento primário - com escavadeira e caminhão basculante de 14 m³</v>
      </c>
      <c r="E94" s="1229"/>
      <c r="F94" s="573"/>
      <c r="G94" s="1235"/>
      <c r="H94" s="592"/>
      <c r="I94" s="592"/>
      <c r="J94" s="1229"/>
      <c r="K94" s="574"/>
      <c r="L94" s="592"/>
      <c r="M94" s="1235"/>
      <c r="N94" s="1229"/>
      <c r="O94" s="1229"/>
      <c r="P94" s="1229"/>
      <c r="Q94" s="1241"/>
    </row>
    <row r="95" spans="3:17" s="618" customFormat="1" x14ac:dyDescent="0.25">
      <c r="C95" s="1234"/>
      <c r="D95" s="1235"/>
      <c r="E95" s="1235"/>
      <c r="F95" s="573"/>
      <c r="G95" s="1235"/>
      <c r="H95" s="592"/>
      <c r="I95" s="592"/>
      <c r="J95" s="1229"/>
      <c r="K95" s="574"/>
      <c r="L95" s="592"/>
      <c r="M95" s="1235"/>
      <c r="N95" s="1229"/>
      <c r="O95" s="1229"/>
      <c r="P95" s="1229"/>
      <c r="Q95" s="1241"/>
    </row>
    <row r="96" spans="3:17" s="618" customFormat="1" x14ac:dyDescent="0.25">
      <c r="C96" s="1234"/>
      <c r="D96" s="1235"/>
      <c r="E96" s="562" t="s">
        <v>397</v>
      </c>
      <c r="F96" s="573"/>
      <c r="G96" s="1235"/>
      <c r="H96" s="592"/>
      <c r="I96" s="592"/>
      <c r="J96" s="1229"/>
      <c r="K96" s="574"/>
      <c r="L96" s="592"/>
      <c r="M96" s="1235"/>
      <c r="N96" s="1229"/>
      <c r="O96" s="1229"/>
      <c r="P96" s="1229"/>
      <c r="Q96" s="1241"/>
    </row>
    <row r="97" spans="3:17" s="618" customFormat="1" x14ac:dyDescent="0.25">
      <c r="C97" s="1234"/>
      <c r="D97" s="568" t="s">
        <v>926</v>
      </c>
      <c r="E97" s="568" t="s">
        <v>924</v>
      </c>
      <c r="F97" s="573"/>
      <c r="G97" s="1235"/>
      <c r="H97" s="592"/>
      <c r="I97" s="592"/>
      <c r="J97" s="1229"/>
      <c r="K97" s="574"/>
      <c r="L97" s="592"/>
      <c r="M97" s="1235"/>
      <c r="N97" s="1266" t="s">
        <v>739</v>
      </c>
      <c r="O97" s="1340">
        <v>8</v>
      </c>
      <c r="P97" s="1341">
        <f>(0.9*194.4639)+(0.1*58.2922)</f>
        <v>180.84672999999998</v>
      </c>
      <c r="Q97" s="1336">
        <f t="shared" ref="Q97:Q98" si="6">O97*P97</f>
        <v>1446.7738399999998</v>
      </c>
    </row>
    <row r="98" spans="3:17" s="618" customFormat="1" x14ac:dyDescent="0.25">
      <c r="C98" s="1234"/>
      <c r="D98" s="568" t="s">
        <v>927</v>
      </c>
      <c r="E98" s="568" t="s">
        <v>925</v>
      </c>
      <c r="F98" s="573"/>
      <c r="G98" s="1235"/>
      <c r="H98" s="592"/>
      <c r="I98" s="592"/>
      <c r="J98" s="1229"/>
      <c r="K98" s="574"/>
      <c r="L98" s="592"/>
      <c r="M98" s="1235"/>
      <c r="N98" s="1266" t="s">
        <v>739</v>
      </c>
      <c r="O98" s="1340">
        <v>1</v>
      </c>
      <c r="P98" s="1341">
        <v>198.54249999999999</v>
      </c>
      <c r="Q98" s="1336">
        <f t="shared" si="6"/>
        <v>198.54249999999999</v>
      </c>
    </row>
    <row r="99" spans="3:17" s="618" customFormat="1" x14ac:dyDescent="0.25">
      <c r="C99" s="1234"/>
      <c r="D99" s="1235"/>
      <c r="E99" s="1235"/>
      <c r="F99" s="573"/>
      <c r="G99" s="1235"/>
      <c r="H99" s="592"/>
      <c r="I99" s="592"/>
      <c r="J99" s="1229"/>
      <c r="K99" s="574"/>
      <c r="L99" s="592"/>
      <c r="M99" s="1235"/>
      <c r="N99" s="1266"/>
      <c r="O99" s="1266"/>
      <c r="P99" s="1267"/>
      <c r="Q99" s="1260"/>
    </row>
    <row r="100" spans="3:17" s="618" customFormat="1" x14ac:dyDescent="0.25">
      <c r="C100" s="1234"/>
      <c r="D100" s="1235"/>
      <c r="E100" s="1235"/>
      <c r="F100" s="573"/>
      <c r="G100" s="1235"/>
      <c r="H100" s="592"/>
      <c r="I100" s="592"/>
      <c r="J100" s="1229"/>
      <c r="K100" s="574"/>
      <c r="L100" s="592"/>
      <c r="M100" s="1235"/>
      <c r="N100" s="1268" t="s">
        <v>364</v>
      </c>
      <c r="O100" s="1268"/>
      <c r="P100" s="1268"/>
      <c r="Q100" s="1337">
        <f>SUM(Q97:Q99)</f>
        <v>1645.3163399999999</v>
      </c>
    </row>
    <row r="101" spans="3:17" s="618" customFormat="1" x14ac:dyDescent="0.25">
      <c r="C101" s="1234"/>
      <c r="D101" s="1235"/>
      <c r="E101" s="562" t="s">
        <v>365</v>
      </c>
      <c r="F101" s="573"/>
      <c r="G101" s="1235"/>
      <c r="H101" s="592"/>
      <c r="I101" s="592"/>
      <c r="J101" s="1229"/>
      <c r="K101" s="574"/>
      <c r="L101" s="592"/>
      <c r="M101" s="1235"/>
      <c r="N101" s="1266"/>
      <c r="O101" s="1266"/>
      <c r="P101" s="1267"/>
      <c r="Q101" s="1264"/>
    </row>
    <row r="102" spans="3:17" s="618" customFormat="1" x14ac:dyDescent="0.25">
      <c r="C102" s="1234"/>
      <c r="D102" s="568" t="s">
        <v>712</v>
      </c>
      <c r="E102" s="568" t="s">
        <v>369</v>
      </c>
      <c r="F102" s="573"/>
      <c r="G102" s="1235"/>
      <c r="H102" s="592"/>
      <c r="I102" s="592"/>
      <c r="J102" s="1229"/>
      <c r="K102" s="574"/>
      <c r="L102" s="592"/>
      <c r="M102" s="1235"/>
      <c r="N102" s="1263" t="s">
        <v>739</v>
      </c>
      <c r="O102" s="1342">
        <v>1</v>
      </c>
      <c r="P102" s="1340">
        <v>15.458</v>
      </c>
      <c r="Q102" s="1336">
        <f t="shared" ref="Q102" si="7">O102*P102</f>
        <v>15.458</v>
      </c>
    </row>
    <row r="103" spans="3:17" s="618" customFormat="1" x14ac:dyDescent="0.25">
      <c r="C103" s="1234"/>
      <c r="D103" s="1235"/>
      <c r="E103" s="1235"/>
      <c r="F103" s="573"/>
      <c r="G103" s="1235"/>
      <c r="H103" s="592"/>
      <c r="I103" s="592"/>
      <c r="J103" s="1229"/>
      <c r="K103" s="574"/>
      <c r="L103" s="592"/>
      <c r="M103" s="1235"/>
      <c r="N103" s="1270" t="s">
        <v>370</v>
      </c>
      <c r="O103" s="1270"/>
      <c r="P103" s="1270"/>
      <c r="Q103" s="1337">
        <f>SUM(Q102:Q102)</f>
        <v>15.458</v>
      </c>
    </row>
    <row r="104" spans="3:17" s="618" customFormat="1" x14ac:dyDescent="0.25">
      <c r="C104" s="1234"/>
      <c r="D104" s="1235"/>
      <c r="E104" s="1235"/>
      <c r="F104" s="573"/>
      <c r="G104" s="1235"/>
      <c r="H104" s="592"/>
      <c r="I104" s="592"/>
      <c r="J104" s="1229"/>
      <c r="K104" s="574"/>
      <c r="L104" s="592"/>
      <c r="M104" s="1235"/>
      <c r="N104" s="1261" t="s">
        <v>371</v>
      </c>
      <c r="O104" s="1261"/>
      <c r="P104" s="1262"/>
      <c r="Q104" s="1337">
        <f>P104*Q103</f>
        <v>0</v>
      </c>
    </row>
    <row r="105" spans="3:17" s="618" customFormat="1" x14ac:dyDescent="0.25">
      <c r="C105" s="1234"/>
      <c r="D105" s="1235"/>
      <c r="E105" s="1235"/>
      <c r="F105" s="573"/>
      <c r="G105" s="1235"/>
      <c r="H105" s="592"/>
      <c r="I105" s="592"/>
      <c r="J105" s="1229"/>
      <c r="K105" s="574"/>
      <c r="L105" s="592"/>
      <c r="M105" s="1235"/>
      <c r="N105" s="1263"/>
      <c r="O105" s="1261" t="s">
        <v>372</v>
      </c>
      <c r="P105" s="1261"/>
      <c r="Q105" s="1337">
        <f>Q100+Q103+Q104</f>
        <v>1660.7743399999999</v>
      </c>
    </row>
    <row r="106" spans="3:17" s="618" customFormat="1" x14ac:dyDescent="0.25">
      <c r="C106" s="1234"/>
      <c r="D106" s="1235"/>
      <c r="E106" s="1235"/>
      <c r="F106" s="573"/>
      <c r="G106" s="1235"/>
      <c r="H106" s="592"/>
      <c r="I106" s="592"/>
      <c r="J106" s="1229"/>
      <c r="K106" s="574"/>
      <c r="L106" s="592"/>
      <c r="M106" s="1235"/>
      <c r="N106" s="1263"/>
      <c r="O106" s="1261" t="s">
        <v>373</v>
      </c>
      <c r="P106" s="1261"/>
      <c r="Q106" s="1336">
        <f>Q105/230.19</f>
        <v>7.2147979495199612</v>
      </c>
    </row>
    <row r="107" spans="3:17" s="618" customFormat="1" x14ac:dyDescent="0.25">
      <c r="C107" s="1234"/>
      <c r="D107" s="1235"/>
      <c r="E107" s="1235"/>
      <c r="F107" s="573"/>
      <c r="G107" s="1235"/>
      <c r="H107" s="592"/>
      <c r="I107" s="592"/>
      <c r="J107" s="1229"/>
      <c r="K107" s="574"/>
      <c r="L107" s="592"/>
      <c r="M107" s="1235"/>
      <c r="N107" s="1263"/>
      <c r="O107" s="1261" t="s">
        <v>711</v>
      </c>
      <c r="P107" s="1261"/>
      <c r="Q107" s="1336">
        <v>0.19570000000000001</v>
      </c>
    </row>
    <row r="108" spans="3:17" s="618" customFormat="1" x14ac:dyDescent="0.25">
      <c r="C108" s="1234"/>
      <c r="D108" s="1235"/>
      <c r="E108" s="1235"/>
      <c r="F108" s="573"/>
      <c r="G108" s="1235"/>
      <c r="H108" s="592"/>
      <c r="I108" s="592"/>
      <c r="J108" s="1229"/>
      <c r="K108" s="574"/>
      <c r="L108" s="592"/>
      <c r="M108" s="1235"/>
      <c r="N108" s="1263"/>
      <c r="O108" s="1261" t="s">
        <v>384</v>
      </c>
      <c r="P108" s="1261"/>
      <c r="Q108" s="1337">
        <f>Q106+Q107</f>
        <v>7.4104979495199617</v>
      </c>
    </row>
    <row r="109" spans="3:17" s="618" customFormat="1" x14ac:dyDescent="0.25">
      <c r="C109" s="1234"/>
      <c r="D109" s="1235"/>
      <c r="E109" s="1235"/>
      <c r="F109" s="573"/>
      <c r="G109" s="1235"/>
      <c r="H109" s="592"/>
      <c r="I109" s="592"/>
      <c r="J109" s="1229"/>
      <c r="K109" s="574"/>
      <c r="L109" s="592"/>
      <c r="M109" s="1235"/>
      <c r="N109" s="1263"/>
      <c r="O109" s="1261" t="s">
        <v>226</v>
      </c>
      <c r="P109" s="1261"/>
      <c r="Q109" s="1337">
        <f>0.26*Q108</f>
        <v>1.9267294668751902</v>
      </c>
    </row>
    <row r="110" spans="3:17" s="618" customFormat="1" x14ac:dyDescent="0.25">
      <c r="C110" s="1234"/>
      <c r="D110" s="1235"/>
      <c r="E110" s="1235"/>
      <c r="F110" s="573"/>
      <c r="G110" s="1235"/>
      <c r="H110" s="592"/>
      <c r="I110" s="592"/>
      <c r="J110" s="1229"/>
      <c r="K110" s="574"/>
      <c r="L110" s="592"/>
      <c r="M110" s="1235"/>
      <c r="N110" s="1265" t="s">
        <v>263</v>
      </c>
      <c r="O110" s="1265"/>
      <c r="P110" s="1338">
        <f>Q108+Q109</f>
        <v>9.3372274163951516</v>
      </c>
      <c r="Q110" s="1339"/>
    </row>
    <row r="111" spans="3:17" s="618" customFormat="1" x14ac:dyDescent="0.25">
      <c r="C111" s="1234"/>
      <c r="D111" s="1235"/>
      <c r="E111" s="1235"/>
      <c r="F111" s="573"/>
      <c r="G111" s="1235"/>
      <c r="H111" s="592"/>
      <c r="I111" s="592"/>
      <c r="J111" s="1229"/>
      <c r="K111" s="574"/>
      <c r="L111" s="592"/>
      <c r="M111" s="1235"/>
      <c r="N111" s="1229"/>
      <c r="O111" s="1229"/>
      <c r="P111" s="1229"/>
      <c r="Q111" s="1241"/>
    </row>
    <row r="112" spans="3:17" s="618" customFormat="1" x14ac:dyDescent="0.25">
      <c r="C112" s="1234"/>
      <c r="D112" s="1235"/>
      <c r="E112" s="1235"/>
      <c r="F112" s="573"/>
      <c r="G112" s="1235"/>
      <c r="H112" s="592"/>
      <c r="I112" s="592"/>
      <c r="J112" s="1229"/>
      <c r="K112" s="574"/>
      <c r="L112" s="592"/>
      <c r="M112" s="1235"/>
      <c r="N112" s="1229"/>
      <c r="O112" s="1229"/>
      <c r="P112" s="1229"/>
      <c r="Q112" s="1241"/>
    </row>
    <row r="113" spans="3:17" s="618" customFormat="1" x14ac:dyDescent="0.25">
      <c r="C113" s="1234"/>
      <c r="D113" s="1235"/>
      <c r="E113" s="1235"/>
      <c r="F113" s="573"/>
      <c r="G113" s="1235"/>
      <c r="H113" s="592"/>
      <c r="I113" s="592"/>
      <c r="J113" s="1229"/>
      <c r="K113" s="574"/>
      <c r="L113" s="592"/>
      <c r="M113" s="1235"/>
      <c r="N113" s="1229"/>
      <c r="O113" s="1229"/>
      <c r="P113" s="1229"/>
      <c r="Q113" s="1241"/>
    </row>
    <row r="114" spans="3:17" s="618" customFormat="1" x14ac:dyDescent="0.25">
      <c r="C114" s="552" t="s">
        <v>909</v>
      </c>
      <c r="D114" s="553" t="str">
        <f>'PLANILHA ORÇAMENTÁRIA'!C77</f>
        <v>Desmobilização de Equipamentos</v>
      </c>
      <c r="E114" s="1229"/>
      <c r="F114" s="1229"/>
      <c r="G114" s="1229"/>
      <c r="H114" s="1229"/>
      <c r="I114" s="1229"/>
      <c r="J114" s="1229"/>
      <c r="K114" s="1229"/>
      <c r="L114" s="1229"/>
      <c r="M114" s="1229"/>
      <c r="N114" s="1229"/>
      <c r="O114" s="1229"/>
      <c r="P114" s="1229"/>
      <c r="Q114" s="1230"/>
    </row>
    <row r="115" spans="3:17" s="618" customFormat="1" x14ac:dyDescent="0.25">
      <c r="C115" s="1234"/>
      <c r="D115" s="1235"/>
      <c r="E115" s="1235"/>
      <c r="F115" s="1235"/>
      <c r="G115" s="1235"/>
      <c r="H115" s="1235"/>
      <c r="I115" s="1235"/>
      <c r="J115" s="1235"/>
      <c r="K115" s="1235"/>
      <c r="L115" s="1235"/>
      <c r="M115" s="1235"/>
      <c r="N115" s="1235"/>
      <c r="O115" s="554"/>
      <c r="P115" s="575"/>
      <c r="Q115" s="556"/>
    </row>
    <row r="116" spans="3:17" s="618" customFormat="1" x14ac:dyDescent="0.25">
      <c r="C116" s="558"/>
      <c r="D116" s="554"/>
      <c r="E116" s="1235"/>
      <c r="F116" s="1235"/>
      <c r="G116" s="1235"/>
      <c r="H116" s="1235"/>
      <c r="I116" s="1239"/>
      <c r="J116" s="572" t="s">
        <v>809</v>
      </c>
      <c r="K116" s="1235"/>
      <c r="L116" s="1235"/>
      <c r="M116" s="1235"/>
      <c r="N116" s="1235"/>
      <c r="O116" s="1244"/>
      <c r="P116" s="1235"/>
      <c r="Q116" s="556"/>
    </row>
    <row r="117" spans="3:17" s="618" customFormat="1" x14ac:dyDescent="0.25">
      <c r="C117" s="560"/>
      <c r="D117" s="561"/>
      <c r="E117" s="1235"/>
      <c r="F117" s="1235"/>
      <c r="G117" s="1235"/>
      <c r="H117" s="1229"/>
      <c r="I117" s="1235"/>
      <c r="J117" s="1235"/>
      <c r="K117" s="1235"/>
      <c r="L117" s="1235"/>
      <c r="M117" s="1235"/>
      <c r="N117" s="1235"/>
      <c r="O117" s="1244"/>
      <c r="P117" s="1235"/>
      <c r="Q117" s="1236"/>
    </row>
    <row r="118" spans="3:17" s="618" customFormat="1" x14ac:dyDescent="0.25">
      <c r="C118" s="560"/>
      <c r="D118" s="561"/>
      <c r="E118" s="1235"/>
      <c r="F118" s="1235"/>
      <c r="G118" s="1235"/>
      <c r="H118" s="1229"/>
      <c r="I118" s="1235"/>
      <c r="J118" s="1235"/>
      <c r="K118" s="1235"/>
      <c r="L118" s="1235"/>
      <c r="M118" s="1235" t="s">
        <v>824</v>
      </c>
      <c r="N118" s="1235"/>
      <c r="O118" s="1235"/>
      <c r="P118" s="1235"/>
      <c r="Q118" s="1236"/>
    </row>
    <row r="119" spans="3:17" s="618" customFormat="1" x14ac:dyDescent="0.25">
      <c r="C119" s="560"/>
      <c r="D119" s="561"/>
      <c r="E119" s="1235"/>
      <c r="F119" s="1235"/>
      <c r="G119" s="1235"/>
      <c r="H119" s="1229"/>
      <c r="I119" s="1229"/>
      <c r="J119" s="1229"/>
      <c r="K119" s="1235"/>
      <c r="L119" s="1245" t="s">
        <v>825</v>
      </c>
      <c r="M119" s="1245" t="s">
        <v>794</v>
      </c>
      <c r="N119" s="1229"/>
      <c r="O119" s="1245" t="s">
        <v>826</v>
      </c>
      <c r="P119" s="1245" t="s">
        <v>827</v>
      </c>
      <c r="Q119" s="1236"/>
    </row>
    <row r="120" spans="3:17" s="618" customFormat="1" x14ac:dyDescent="0.25">
      <c r="C120" s="560"/>
      <c r="D120" s="561"/>
      <c r="E120" s="1235"/>
      <c r="F120" s="1235"/>
      <c r="G120" s="1235"/>
      <c r="H120" s="1229"/>
      <c r="I120" s="1246"/>
      <c r="J120" s="1246"/>
      <c r="K120" s="1235"/>
      <c r="L120" s="1247" t="s">
        <v>828</v>
      </c>
      <c r="M120" s="1247">
        <v>5.6117999999999997</v>
      </c>
      <c r="N120" s="1229"/>
      <c r="O120" s="1247" t="s">
        <v>829</v>
      </c>
      <c r="P120" s="1247">
        <v>50</v>
      </c>
      <c r="Q120" s="1236"/>
    </row>
    <row r="121" spans="3:17" s="618" customFormat="1" x14ac:dyDescent="0.25">
      <c r="C121" s="560"/>
      <c r="D121" s="561"/>
      <c r="E121" s="1235"/>
      <c r="F121" s="1235"/>
      <c r="G121" s="1235"/>
      <c r="H121" s="1229"/>
      <c r="I121" s="1246"/>
      <c r="J121" s="1246"/>
      <c r="K121" s="1235"/>
      <c r="L121" s="1247">
        <f>1/6</f>
        <v>0.16666666666666666</v>
      </c>
      <c r="M121" s="1249">
        <f>M120*L121</f>
        <v>0.93529999999999991</v>
      </c>
      <c r="N121" s="1229"/>
      <c r="O121" s="1247">
        <v>5.48</v>
      </c>
      <c r="P121" s="1249">
        <f>ROUND(P120*O121,2)</f>
        <v>274</v>
      </c>
      <c r="Q121" s="1236"/>
    </row>
    <row r="122" spans="3:17" s="618" customFormat="1" x14ac:dyDescent="0.25">
      <c r="C122" s="560"/>
      <c r="D122" s="561"/>
      <c r="E122" s="1235"/>
      <c r="F122" s="1235"/>
      <c r="G122" s="1235"/>
      <c r="H122" s="1229"/>
      <c r="I122" s="1235"/>
      <c r="J122" s="1235"/>
      <c r="K122" s="1235"/>
      <c r="L122" s="1235"/>
      <c r="M122" s="1235"/>
      <c r="N122" s="1235"/>
      <c r="O122" s="1235"/>
      <c r="P122" s="1235"/>
      <c r="Q122" s="1236"/>
    </row>
    <row r="123" spans="3:17" s="618" customFormat="1" x14ac:dyDescent="0.25">
      <c r="C123" s="576" t="s">
        <v>830</v>
      </c>
      <c r="D123" s="577" t="s">
        <v>234</v>
      </c>
      <c r="E123" s="677" t="s">
        <v>831</v>
      </c>
      <c r="F123" s="678"/>
      <c r="G123" s="678"/>
      <c r="H123" s="679"/>
      <c r="I123" s="577"/>
      <c r="J123" s="578" t="s">
        <v>239</v>
      </c>
      <c r="K123" s="1250" t="s">
        <v>832</v>
      </c>
      <c r="L123" s="579" t="s">
        <v>833</v>
      </c>
      <c r="M123" s="680" t="s">
        <v>834</v>
      </c>
      <c r="N123" s="680"/>
      <c r="O123" s="680" t="s">
        <v>835</v>
      </c>
      <c r="P123" s="680"/>
      <c r="Q123" s="580" t="s">
        <v>836</v>
      </c>
    </row>
    <row r="124" spans="3:17" s="618" customFormat="1" x14ac:dyDescent="0.25">
      <c r="C124" s="674" t="s">
        <v>837</v>
      </c>
      <c r="D124" s="675"/>
      <c r="E124" s="676"/>
      <c r="F124" s="581"/>
      <c r="G124" s="581"/>
      <c r="H124" s="581"/>
      <c r="I124" s="581"/>
      <c r="J124" s="578" t="s">
        <v>838</v>
      </c>
      <c r="K124" s="1251" t="s">
        <v>839</v>
      </c>
      <c r="L124" s="579" t="s">
        <v>840</v>
      </c>
      <c r="M124" s="670" t="s">
        <v>841</v>
      </c>
      <c r="N124" s="671"/>
      <c r="O124" s="670" t="s">
        <v>841</v>
      </c>
      <c r="P124" s="671"/>
      <c r="Q124" s="582" t="s">
        <v>841</v>
      </c>
    </row>
    <row r="125" spans="3:17" s="618" customFormat="1" x14ac:dyDescent="0.25">
      <c r="C125" s="583" t="s">
        <v>842</v>
      </c>
      <c r="D125" s="584" t="s">
        <v>843</v>
      </c>
      <c r="E125" s="666" t="s">
        <v>844</v>
      </c>
      <c r="F125" s="672"/>
      <c r="G125" s="672"/>
      <c r="H125" s="672"/>
      <c r="I125" s="673"/>
      <c r="J125" s="585">
        <v>1</v>
      </c>
      <c r="K125" s="1323">
        <f>$P$40</f>
        <v>274</v>
      </c>
      <c r="L125" s="1323">
        <f>$O$40</f>
        <v>5.48</v>
      </c>
      <c r="M125" s="1324">
        <v>157.35509999999999</v>
      </c>
      <c r="N125" s="1324"/>
      <c r="O125" s="1324">
        <f>$M$40</f>
        <v>0.94166666666666665</v>
      </c>
      <c r="P125" s="1324"/>
      <c r="Q125" s="1326">
        <f>ROUND(((L125*M125)+(K125*O125))*J125,2)-0.01</f>
        <v>1120.31</v>
      </c>
    </row>
    <row r="126" spans="3:17" s="618" customFormat="1" x14ac:dyDescent="0.25">
      <c r="C126" s="583" t="s">
        <v>842</v>
      </c>
      <c r="D126" s="584" t="s">
        <v>704</v>
      </c>
      <c r="E126" s="666" t="s">
        <v>845</v>
      </c>
      <c r="F126" s="1252"/>
      <c r="G126" s="1252"/>
      <c r="H126" s="1252"/>
      <c r="I126" s="1253"/>
      <c r="J126" s="585">
        <v>1</v>
      </c>
      <c r="K126" s="1323">
        <f t="shared" ref="K126:K130" si="8">$P$40</f>
        <v>274</v>
      </c>
      <c r="L126" s="1323">
        <f t="shared" ref="L126:L129" si="9">$O$40</f>
        <v>5.48</v>
      </c>
      <c r="M126" s="1324">
        <v>74.660899999999998</v>
      </c>
      <c r="N126" s="1324"/>
      <c r="O126" s="1324">
        <f t="shared" ref="O126:O130" si="10">$M$40</f>
        <v>0.94166666666666665</v>
      </c>
      <c r="P126" s="1324"/>
      <c r="Q126" s="1326">
        <f>ROUND(((L126*M126)+(K126*O126))*J126,2)-0.01</f>
        <v>667.15</v>
      </c>
    </row>
    <row r="127" spans="3:17" s="618" customFormat="1" x14ac:dyDescent="0.25">
      <c r="C127" s="583" t="s">
        <v>842</v>
      </c>
      <c r="D127" s="584" t="s">
        <v>846</v>
      </c>
      <c r="E127" s="666" t="s">
        <v>847</v>
      </c>
      <c r="F127" s="1252"/>
      <c r="G127" s="1252"/>
      <c r="H127" s="1252"/>
      <c r="I127" s="1253"/>
      <c r="J127" s="585">
        <v>1</v>
      </c>
      <c r="K127" s="1323">
        <f t="shared" si="8"/>
        <v>274</v>
      </c>
      <c r="L127" s="1323">
        <f t="shared" si="9"/>
        <v>5.48</v>
      </c>
      <c r="M127" s="1324">
        <v>153.5027</v>
      </c>
      <c r="N127" s="1324"/>
      <c r="O127" s="1324">
        <f t="shared" si="10"/>
        <v>0.94166666666666665</v>
      </c>
      <c r="P127" s="1324"/>
      <c r="Q127" s="1326">
        <f>ROUND(((L127*M127)+(K127*O127))*J127,2)-0.005</f>
        <v>1099.2049999999999</v>
      </c>
    </row>
    <row r="128" spans="3:17" s="618" customFormat="1" x14ac:dyDescent="0.25">
      <c r="C128" s="583" t="s">
        <v>842</v>
      </c>
      <c r="D128" s="584" t="s">
        <v>848</v>
      </c>
      <c r="E128" s="666" t="s">
        <v>849</v>
      </c>
      <c r="F128" s="1252"/>
      <c r="G128" s="1252"/>
      <c r="H128" s="1252"/>
      <c r="I128" s="1253"/>
      <c r="J128" s="585">
        <v>1</v>
      </c>
      <c r="K128" s="1323">
        <f t="shared" si="8"/>
        <v>274</v>
      </c>
      <c r="L128" s="1323">
        <f t="shared" si="9"/>
        <v>5.48</v>
      </c>
      <c r="M128" s="1324">
        <v>53.516800000000003</v>
      </c>
      <c r="N128" s="1324"/>
      <c r="O128" s="1324">
        <f t="shared" si="10"/>
        <v>0.94166666666666665</v>
      </c>
      <c r="P128" s="1324"/>
      <c r="Q128" s="1326">
        <f>ROUND(((L128*M128)+(K128*O128))*J128,2)</f>
        <v>551.29</v>
      </c>
    </row>
    <row r="129" spans="3:17" s="618" customFormat="1" x14ac:dyDescent="0.25">
      <c r="C129" s="583" t="s">
        <v>842</v>
      </c>
      <c r="D129" s="584" t="s">
        <v>702</v>
      </c>
      <c r="E129" s="666" t="s">
        <v>850</v>
      </c>
      <c r="F129" s="1252"/>
      <c r="G129" s="1252"/>
      <c r="H129" s="1252"/>
      <c r="I129" s="1253"/>
      <c r="J129" s="585">
        <v>1</v>
      </c>
      <c r="K129" s="1323">
        <f t="shared" si="8"/>
        <v>274</v>
      </c>
      <c r="L129" s="1323">
        <f t="shared" si="9"/>
        <v>5.48</v>
      </c>
      <c r="M129" s="1324">
        <v>56.935899999999997</v>
      </c>
      <c r="N129" s="1324"/>
      <c r="O129" s="1324">
        <f t="shared" si="10"/>
        <v>0.94166666666666665</v>
      </c>
      <c r="P129" s="1324"/>
      <c r="Q129" s="1326">
        <f t="shared" ref="Q129:Q130" si="11">ROUND(((L129*M129)+(K129*O129))*J129,2)</f>
        <v>570.03</v>
      </c>
    </row>
    <row r="130" spans="3:17" s="618" customFormat="1" x14ac:dyDescent="0.25">
      <c r="C130" s="583" t="s">
        <v>842</v>
      </c>
      <c r="D130" s="584" t="s">
        <v>706</v>
      </c>
      <c r="E130" s="666" t="s">
        <v>901</v>
      </c>
      <c r="F130" s="1252"/>
      <c r="G130" s="1252"/>
      <c r="H130" s="1252"/>
      <c r="I130" s="1253"/>
      <c r="J130" s="585">
        <v>1</v>
      </c>
      <c r="K130" s="1323">
        <f t="shared" si="8"/>
        <v>274</v>
      </c>
      <c r="L130" s="1323">
        <f>$O$40</f>
        <v>5.48</v>
      </c>
      <c r="M130" s="1324">
        <v>65.127499999999998</v>
      </c>
      <c r="N130" s="1324"/>
      <c r="O130" s="1324">
        <f t="shared" si="10"/>
        <v>0.94166666666666665</v>
      </c>
      <c r="P130" s="1324"/>
      <c r="Q130" s="1326">
        <f t="shared" si="11"/>
        <v>614.91999999999996</v>
      </c>
    </row>
    <row r="131" spans="3:17" s="618" customFormat="1" x14ac:dyDescent="0.25">
      <c r="C131" s="586"/>
      <c r="D131" s="587"/>
      <c r="E131" s="587"/>
      <c r="F131" s="1254"/>
      <c r="G131" s="1254"/>
      <c r="H131" s="1254"/>
      <c r="I131" s="1254"/>
      <c r="J131" s="1254"/>
      <c r="K131" s="1254"/>
      <c r="L131" s="1254"/>
      <c r="M131" s="1254"/>
      <c r="N131" s="584"/>
      <c r="O131" s="588"/>
      <c r="P131" s="589"/>
      <c r="Q131" s="590"/>
    </row>
    <row r="132" spans="3:17" s="618" customFormat="1" x14ac:dyDescent="0.25">
      <c r="C132" s="667" t="s">
        <v>851</v>
      </c>
      <c r="D132" s="668"/>
      <c r="E132" s="668"/>
      <c r="F132" s="668"/>
      <c r="G132" s="668"/>
      <c r="H132" s="668"/>
      <c r="I132" s="668"/>
      <c r="J132" s="668"/>
      <c r="K132" s="668"/>
      <c r="L132" s="668"/>
      <c r="M132" s="668"/>
      <c r="N132" s="668"/>
      <c r="O132" s="668"/>
      <c r="P132" s="669"/>
      <c r="Q132" s="591">
        <f>SUM(Q125:Q130)</f>
        <v>4622.9049999999997</v>
      </c>
    </row>
    <row r="133" spans="3:17" s="618" customFormat="1" x14ac:dyDescent="0.25">
      <c r="C133" s="674" t="s">
        <v>837</v>
      </c>
      <c r="D133" s="675"/>
      <c r="E133" s="676"/>
      <c r="F133" s="581"/>
      <c r="G133" s="581"/>
      <c r="H133" s="581"/>
      <c r="I133" s="581"/>
      <c r="J133" s="578" t="s">
        <v>838</v>
      </c>
      <c r="K133" s="578" t="s">
        <v>852</v>
      </c>
      <c r="L133" s="579" t="s">
        <v>840</v>
      </c>
      <c r="M133" s="670" t="s">
        <v>841</v>
      </c>
      <c r="N133" s="671"/>
      <c r="O133" s="670" t="s">
        <v>841</v>
      </c>
      <c r="P133" s="671"/>
      <c r="Q133" s="582" t="s">
        <v>841</v>
      </c>
    </row>
    <row r="134" spans="3:17" s="618" customFormat="1" x14ac:dyDescent="0.25">
      <c r="C134" s="586" t="s">
        <v>842</v>
      </c>
      <c r="D134" s="584" t="s">
        <v>853</v>
      </c>
      <c r="E134" s="666" t="s">
        <v>854</v>
      </c>
      <c r="F134" s="1252"/>
      <c r="G134" s="1252"/>
      <c r="H134" s="1252"/>
      <c r="I134" s="1253"/>
      <c r="J134" s="585" t="s">
        <v>739</v>
      </c>
      <c r="K134" s="1323">
        <v>4</v>
      </c>
      <c r="L134" s="1323">
        <f t="shared" ref="L134:L136" si="12">$O$40</f>
        <v>5.48</v>
      </c>
      <c r="M134" s="665"/>
      <c r="N134" s="665"/>
      <c r="O134" s="1324">
        <v>27.008400000000002</v>
      </c>
      <c r="P134" s="1324"/>
      <c r="Q134" s="1326">
        <f>ROUND(K134*L134*O134,2)</f>
        <v>592.02</v>
      </c>
    </row>
    <row r="135" spans="3:17" s="618" customFormat="1" x14ac:dyDescent="0.25">
      <c r="C135" s="586" t="s">
        <v>842</v>
      </c>
      <c r="D135" s="584" t="s">
        <v>855</v>
      </c>
      <c r="E135" s="666" t="s">
        <v>856</v>
      </c>
      <c r="F135" s="1252"/>
      <c r="G135" s="1252"/>
      <c r="H135" s="1252"/>
      <c r="I135" s="1253"/>
      <c r="J135" s="585" t="s">
        <v>739</v>
      </c>
      <c r="K135" s="1323">
        <v>7</v>
      </c>
      <c r="L135" s="1323">
        <f t="shared" si="12"/>
        <v>5.48</v>
      </c>
      <c r="M135" s="665"/>
      <c r="N135" s="665"/>
      <c r="O135" s="1324">
        <v>24.1187</v>
      </c>
      <c r="P135" s="1324"/>
      <c r="Q135" s="1326">
        <f>ROUND(K135*L135*O135,2)</f>
        <v>925.19</v>
      </c>
    </row>
    <row r="136" spans="3:17" s="618" customFormat="1" x14ac:dyDescent="0.25">
      <c r="C136" s="586" t="s">
        <v>842</v>
      </c>
      <c r="D136" s="584" t="s">
        <v>913</v>
      </c>
      <c r="E136" s="666" t="s">
        <v>912</v>
      </c>
      <c r="F136" s="1252"/>
      <c r="G136" s="1252"/>
      <c r="H136" s="1252"/>
      <c r="I136" s="1253"/>
      <c r="J136" s="585" t="s">
        <v>739</v>
      </c>
      <c r="K136" s="1323">
        <v>2.0299999999999998</v>
      </c>
      <c r="L136" s="1323">
        <f t="shared" si="12"/>
        <v>5.48</v>
      </c>
      <c r="M136" s="665"/>
      <c r="N136" s="665"/>
      <c r="O136" s="1324">
        <f>15.862</f>
        <v>15.862</v>
      </c>
      <c r="P136" s="1324"/>
      <c r="Q136" s="1326">
        <f>ROUND(K136*L136*O136,2)</f>
        <v>176.46</v>
      </c>
    </row>
    <row r="137" spans="3:17" s="618" customFormat="1" x14ac:dyDescent="0.25">
      <c r="C137" s="667" t="s">
        <v>857</v>
      </c>
      <c r="D137" s="668"/>
      <c r="E137" s="668"/>
      <c r="F137" s="668"/>
      <c r="G137" s="668"/>
      <c r="H137" s="668"/>
      <c r="I137" s="668"/>
      <c r="J137" s="668"/>
      <c r="K137" s="668"/>
      <c r="L137" s="668"/>
      <c r="M137" s="668"/>
      <c r="N137" s="668"/>
      <c r="O137" s="668"/>
      <c r="P137" s="669"/>
      <c r="Q137" s="591">
        <f>SUM(Q134:Q136)</f>
        <v>1693.67</v>
      </c>
    </row>
    <row r="138" spans="3:17" s="618" customFormat="1" x14ac:dyDescent="0.25">
      <c r="C138" s="667" t="s">
        <v>858</v>
      </c>
      <c r="D138" s="668"/>
      <c r="E138" s="668"/>
      <c r="F138" s="668"/>
      <c r="G138" s="668"/>
      <c r="H138" s="668"/>
      <c r="I138" s="668"/>
      <c r="J138" s="668"/>
      <c r="K138" s="668"/>
      <c r="L138" s="668"/>
      <c r="M138" s="668"/>
      <c r="N138" s="668"/>
      <c r="O138" s="668"/>
      <c r="P138" s="669"/>
      <c r="Q138" s="591">
        <f>Q132+Q137</f>
        <v>6316.5749999999998</v>
      </c>
    </row>
    <row r="139" spans="3:17" s="618" customFormat="1" x14ac:dyDescent="0.25">
      <c r="C139" s="1234"/>
      <c r="D139" s="1235"/>
      <c r="E139" s="1235"/>
      <c r="F139" s="573"/>
      <c r="G139" s="1235"/>
      <c r="H139" s="592"/>
      <c r="I139" s="592"/>
      <c r="J139" s="1229"/>
      <c r="K139" s="574"/>
      <c r="L139" s="592"/>
      <c r="M139" s="1235"/>
      <c r="N139" s="1229"/>
      <c r="O139" s="1229"/>
      <c r="P139" s="1229"/>
      <c r="Q139" s="1241"/>
    </row>
    <row r="140" spans="3:17" s="618" customFormat="1" x14ac:dyDescent="0.25">
      <c r="C140" s="1233" t="s">
        <v>859</v>
      </c>
      <c r="D140" s="1235"/>
      <c r="E140" s="1235"/>
      <c r="F140" s="573"/>
      <c r="G140" s="1235"/>
      <c r="H140" s="592"/>
      <c r="I140" s="592"/>
      <c r="J140" s="1229"/>
      <c r="K140" s="574"/>
      <c r="L140" s="592"/>
      <c r="M140" s="1235"/>
      <c r="N140" s="1229"/>
      <c r="O140" s="1229"/>
      <c r="P140" s="1229"/>
      <c r="Q140" s="1241"/>
    </row>
    <row r="141" spans="3:17" s="618" customFormat="1" x14ac:dyDescent="0.25">
      <c r="C141" s="1233" t="s">
        <v>860</v>
      </c>
      <c r="D141" s="1235"/>
      <c r="E141" s="1235"/>
      <c r="F141" s="573"/>
      <c r="G141" s="1235"/>
      <c r="H141" s="592"/>
      <c r="I141" s="592"/>
      <c r="J141" s="1229"/>
      <c r="K141" s="574"/>
      <c r="L141" s="592"/>
      <c r="M141" s="1235"/>
      <c r="N141" s="1229"/>
      <c r="O141" s="1229"/>
      <c r="P141" s="1229"/>
      <c r="Q141" s="1241"/>
    </row>
    <row r="142" spans="3:17" s="618" customFormat="1" x14ac:dyDescent="0.25">
      <c r="C142" s="1233" t="s">
        <v>861</v>
      </c>
      <c r="D142" s="1235"/>
      <c r="E142" s="1235"/>
      <c r="F142" s="573"/>
      <c r="G142" s="1235"/>
      <c r="H142" s="592"/>
      <c r="I142" s="592"/>
      <c r="J142" s="1229"/>
      <c r="K142" s="574"/>
      <c r="L142" s="592"/>
      <c r="M142" s="1235"/>
      <c r="N142" s="1229"/>
      <c r="O142" s="1229"/>
      <c r="P142" s="1229"/>
      <c r="Q142" s="1241"/>
    </row>
    <row r="143" spans="3:17" s="618" customFormat="1" x14ac:dyDescent="0.25">
      <c r="C143" s="1233" t="s">
        <v>947</v>
      </c>
      <c r="D143" s="1235"/>
      <c r="E143" s="1235"/>
      <c r="F143" s="573"/>
      <c r="G143" s="1235"/>
      <c r="H143" s="592"/>
      <c r="I143" s="592"/>
      <c r="J143" s="1229"/>
      <c r="K143" s="574"/>
      <c r="L143" s="592"/>
      <c r="M143" s="1235"/>
      <c r="N143" s="1229"/>
      <c r="O143" s="1229"/>
      <c r="P143" s="1229"/>
      <c r="Q143" s="1241"/>
    </row>
    <row r="144" spans="3:17" s="618" customFormat="1" x14ac:dyDescent="0.25">
      <c r="C144" s="1233" t="s">
        <v>948</v>
      </c>
      <c r="D144" s="1235"/>
      <c r="E144" s="1235"/>
      <c r="F144" s="573"/>
      <c r="G144" s="1235"/>
      <c r="H144" s="592"/>
      <c r="I144" s="592"/>
      <c r="J144" s="1229"/>
      <c r="K144" s="574"/>
      <c r="L144" s="592"/>
      <c r="M144" s="1235"/>
      <c r="N144" s="1229"/>
      <c r="O144" s="1229"/>
      <c r="P144" s="1229"/>
      <c r="Q144" s="1241"/>
    </row>
    <row r="145" spans="3:17" s="34" customFormat="1" x14ac:dyDescent="0.25">
      <c r="C145" s="1234"/>
      <c r="D145" s="1235"/>
      <c r="E145" s="1235"/>
      <c r="F145" s="573"/>
      <c r="G145" s="1235"/>
      <c r="H145" s="592"/>
      <c r="I145" s="592"/>
      <c r="J145" s="1229"/>
      <c r="K145" s="574"/>
      <c r="L145" s="592"/>
      <c r="M145" s="1235"/>
      <c r="N145" s="1229"/>
      <c r="O145" s="1229"/>
      <c r="P145" s="1229"/>
      <c r="Q145" s="1241"/>
    </row>
    <row r="146" spans="3:17" s="618" customFormat="1" x14ac:dyDescent="0.25">
      <c r="C146" s="1233"/>
      <c r="D146" s="1235"/>
      <c r="E146" s="1235"/>
      <c r="F146" s="573"/>
      <c r="G146" s="1235"/>
      <c r="H146" s="592"/>
      <c r="I146" s="592"/>
      <c r="J146" s="1229"/>
      <c r="K146" s="574"/>
      <c r="L146" s="1229"/>
      <c r="M146" s="1229"/>
      <c r="N146" s="1229"/>
      <c r="O146" s="1229"/>
      <c r="P146" s="1229"/>
      <c r="Q146" s="1230"/>
    </row>
    <row r="147" spans="3:17" s="618" customFormat="1" x14ac:dyDescent="0.25">
      <c r="C147" s="552" t="s">
        <v>19</v>
      </c>
      <c r="D147" s="553" t="str">
        <f>'PLANILHA ORÇAMENTÁRIA'!C57</f>
        <v>Corpo de BQTC D= 1,00m - Fornecimento e assentamento</v>
      </c>
      <c r="E147" s="1235"/>
      <c r="F147" s="573"/>
      <c r="G147" s="1235"/>
      <c r="H147" s="592"/>
      <c r="I147" s="592"/>
      <c r="J147" s="1229"/>
      <c r="K147" s="574"/>
      <c r="L147" s="592"/>
      <c r="M147" s="1235"/>
      <c r="N147" s="1229"/>
      <c r="O147" s="1229"/>
      <c r="P147" s="1229"/>
      <c r="Q147" s="1241"/>
    </row>
    <row r="148" spans="3:17" s="618" customFormat="1" x14ac:dyDescent="0.25">
      <c r="C148" s="1233"/>
      <c r="D148" s="1271"/>
      <c r="E148" s="562" t="s">
        <v>386</v>
      </c>
      <c r="F148" s="1272"/>
      <c r="G148" s="1272"/>
      <c r="H148" s="1272"/>
      <c r="I148" s="1272"/>
      <c r="J148" s="1272"/>
      <c r="K148" s="1272"/>
      <c r="L148" s="1272"/>
      <c r="M148" s="1272"/>
      <c r="N148" s="1272"/>
      <c r="O148" s="1272"/>
      <c r="P148" s="1273"/>
      <c r="Q148" s="1274">
        <f t="shared" ref="Q148:Q149" si="13">O148*P148</f>
        <v>0</v>
      </c>
    </row>
    <row r="149" spans="3:17" s="618" customFormat="1" x14ac:dyDescent="0.25">
      <c r="C149" s="1233"/>
      <c r="D149" s="563" t="s">
        <v>928</v>
      </c>
      <c r="E149" s="568" t="s">
        <v>929</v>
      </c>
      <c r="F149" s="573"/>
      <c r="G149" s="1235"/>
      <c r="H149" s="592"/>
      <c r="I149" s="592"/>
      <c r="J149" s="1229"/>
      <c r="K149" s="574"/>
      <c r="L149" s="592"/>
      <c r="M149" s="1235"/>
      <c r="N149" s="1272"/>
      <c r="O149" s="1343">
        <v>1</v>
      </c>
      <c r="P149" s="1344">
        <v>216.45249999999999</v>
      </c>
      <c r="Q149" s="1345">
        <f t="shared" si="13"/>
        <v>216.45249999999999</v>
      </c>
    </row>
    <row r="150" spans="3:17" s="618" customFormat="1" x14ac:dyDescent="0.25">
      <c r="C150" s="1233"/>
      <c r="D150" s="1271"/>
      <c r="E150" s="1276"/>
      <c r="F150" s="1272"/>
      <c r="G150" s="1272"/>
      <c r="H150" s="1272"/>
      <c r="I150" s="1272"/>
      <c r="J150" s="1272"/>
      <c r="K150" s="1272"/>
      <c r="L150" s="1272"/>
      <c r="M150" s="1272"/>
      <c r="N150" s="1277" t="s">
        <v>364</v>
      </c>
      <c r="O150" s="1277"/>
      <c r="P150" s="1277"/>
      <c r="Q150" s="1274">
        <f>SUM(Q149:Q149)</f>
        <v>216.45249999999999</v>
      </c>
    </row>
    <row r="151" spans="3:17" s="618" customFormat="1" x14ac:dyDescent="0.25">
      <c r="C151" s="1233"/>
      <c r="D151" s="1271"/>
      <c r="E151" s="562" t="s">
        <v>395</v>
      </c>
      <c r="F151" s="1272"/>
      <c r="G151" s="1272"/>
      <c r="H151" s="1272"/>
      <c r="I151" s="1272"/>
      <c r="J151" s="1272"/>
      <c r="K151" s="1272"/>
      <c r="L151" s="1272"/>
      <c r="M151" s="1272"/>
      <c r="N151" s="1272"/>
      <c r="O151" s="1272"/>
      <c r="P151" s="1273"/>
      <c r="Q151" s="1274"/>
    </row>
    <row r="152" spans="3:17" s="618" customFormat="1" x14ac:dyDescent="0.25">
      <c r="C152" s="1233"/>
      <c r="D152" s="563" t="s">
        <v>712</v>
      </c>
      <c r="E152" s="568" t="s">
        <v>369</v>
      </c>
      <c r="F152" s="573"/>
      <c r="G152" s="1235"/>
      <c r="H152" s="592"/>
      <c r="I152" s="592"/>
      <c r="J152" s="1229"/>
      <c r="K152" s="574"/>
      <c r="L152" s="592"/>
      <c r="M152" s="1235"/>
      <c r="N152" s="1272" t="s">
        <v>48</v>
      </c>
      <c r="O152" s="1343">
        <v>3</v>
      </c>
      <c r="P152" s="1344">
        <v>15.458</v>
      </c>
      <c r="Q152" s="1345">
        <f t="shared" ref="Q152" si="14">O152*P152</f>
        <v>46.374000000000002</v>
      </c>
    </row>
    <row r="153" spans="3:17" s="618" customFormat="1" x14ac:dyDescent="0.25">
      <c r="C153" s="1233"/>
      <c r="D153" s="1271"/>
      <c r="E153" s="1276"/>
      <c r="F153" s="1272"/>
      <c r="G153" s="1272"/>
      <c r="H153" s="1272"/>
      <c r="I153" s="1272"/>
      <c r="J153" s="1272"/>
      <c r="K153" s="1272"/>
      <c r="L153" s="1272"/>
      <c r="M153" s="1272"/>
      <c r="N153" s="1278" t="s">
        <v>370</v>
      </c>
      <c r="O153" s="1278"/>
      <c r="P153" s="1278"/>
      <c r="Q153" s="1274">
        <f>SUM(Q152:Q152)</f>
        <v>46.374000000000002</v>
      </c>
    </row>
    <row r="154" spans="3:17" s="618" customFormat="1" x14ac:dyDescent="0.25">
      <c r="C154" s="1233"/>
      <c r="D154" s="1271"/>
      <c r="E154" s="1276"/>
      <c r="F154" s="1279"/>
      <c r="G154" s="1279"/>
      <c r="H154" s="1279"/>
      <c r="I154" s="1279"/>
      <c r="J154" s="1279"/>
      <c r="K154" s="1279"/>
      <c r="L154" s="1279"/>
      <c r="M154" s="1279"/>
      <c r="N154" s="1280" t="s">
        <v>371</v>
      </c>
      <c r="O154" s="1280"/>
      <c r="P154" s="1281">
        <v>0</v>
      </c>
      <c r="Q154" s="1346">
        <f>P154*Q153</f>
        <v>0</v>
      </c>
    </row>
    <row r="155" spans="3:17" s="618" customFormat="1" x14ac:dyDescent="0.25">
      <c r="C155" s="1233"/>
      <c r="D155" s="1271"/>
      <c r="E155" s="1276"/>
      <c r="F155" s="1272"/>
      <c r="G155" s="1272"/>
      <c r="H155" s="1272"/>
      <c r="I155" s="1272"/>
      <c r="J155" s="1272"/>
      <c r="K155" s="1272"/>
      <c r="L155" s="1272"/>
      <c r="M155" s="1272"/>
      <c r="N155" s="1282"/>
      <c r="O155" s="1280" t="s">
        <v>372</v>
      </c>
      <c r="P155" s="1280"/>
      <c r="Q155" s="1346">
        <f>Q153+Q154+Q150</f>
        <v>262.82650000000001</v>
      </c>
    </row>
    <row r="156" spans="3:17" s="618" customFormat="1" x14ac:dyDescent="0.25">
      <c r="C156" s="1233"/>
      <c r="D156" s="1271"/>
      <c r="E156" s="1276"/>
      <c r="F156" s="1272"/>
      <c r="G156" s="1272"/>
      <c r="H156" s="1272"/>
      <c r="I156" s="1272"/>
      <c r="J156" s="1272"/>
      <c r="K156" s="1272"/>
      <c r="L156" s="1272"/>
      <c r="M156" s="1272"/>
      <c r="N156" s="1282"/>
      <c r="O156" s="1280" t="s">
        <v>373</v>
      </c>
      <c r="P156" s="1280"/>
      <c r="Q156" s="1345">
        <f>Q155/1.0375</f>
        <v>253.32674698795179</v>
      </c>
    </row>
    <row r="157" spans="3:17" s="618" customFormat="1" x14ac:dyDescent="0.25">
      <c r="C157" s="1233"/>
      <c r="D157" s="1271"/>
      <c r="E157" s="1276"/>
      <c r="F157" s="1272"/>
      <c r="G157" s="1272"/>
      <c r="H157" s="1272"/>
      <c r="I157" s="1272"/>
      <c r="J157" s="1272"/>
      <c r="K157" s="1272"/>
      <c r="L157" s="1272"/>
      <c r="M157" s="1272"/>
      <c r="N157" s="1282"/>
      <c r="O157" s="1280" t="s">
        <v>711</v>
      </c>
      <c r="P157" s="1280"/>
      <c r="Q157" s="1345">
        <v>0</v>
      </c>
    </row>
    <row r="158" spans="3:17" s="618" customFormat="1" x14ac:dyDescent="0.25">
      <c r="C158" s="1233"/>
      <c r="D158" s="1271"/>
      <c r="E158" s="1276"/>
      <c r="F158" s="1272"/>
      <c r="G158" s="1272"/>
      <c r="H158" s="1272"/>
      <c r="I158" s="1272"/>
      <c r="J158" s="1272"/>
      <c r="K158" s="1272"/>
      <c r="L158" s="1272"/>
      <c r="M158" s="1272"/>
      <c r="N158" s="1282"/>
      <c r="O158" s="1283" t="s">
        <v>930</v>
      </c>
      <c r="P158" s="1283"/>
      <c r="Q158" s="1345">
        <f>Q156+Q157</f>
        <v>253.32674698795179</v>
      </c>
    </row>
    <row r="159" spans="3:17" s="618" customFormat="1" x14ac:dyDescent="0.25">
      <c r="C159" s="1233"/>
      <c r="D159" s="1271"/>
      <c r="E159" s="562" t="s">
        <v>631</v>
      </c>
      <c r="F159" s="1272"/>
      <c r="G159" s="1272"/>
      <c r="H159" s="1272"/>
      <c r="I159" s="1272"/>
      <c r="J159" s="1272"/>
      <c r="K159" s="1272"/>
      <c r="L159" s="1272"/>
      <c r="M159" s="1272"/>
      <c r="N159" s="1272"/>
      <c r="O159" s="1272"/>
      <c r="P159" s="1273"/>
      <c r="Q159" s="1274"/>
    </row>
    <row r="160" spans="3:17" s="618" customFormat="1" x14ac:dyDescent="0.25">
      <c r="C160" s="1233"/>
      <c r="D160" s="563" t="s">
        <v>939</v>
      </c>
      <c r="E160" s="568" t="s">
        <v>938</v>
      </c>
      <c r="F160" s="1279"/>
      <c r="G160" s="1279"/>
      <c r="H160" s="1279"/>
      <c r="I160" s="1279"/>
      <c r="J160" s="1279"/>
      <c r="K160" s="1279"/>
      <c r="L160" s="1279"/>
      <c r="M160" s="1279"/>
      <c r="N160" s="1282" t="s">
        <v>12</v>
      </c>
      <c r="O160" s="1284">
        <v>4</v>
      </c>
      <c r="P160" s="1272">
        <v>403.06079999999997</v>
      </c>
      <c r="Q160" s="1346">
        <f t="shared" ref="Q160" si="15">O160*P160</f>
        <v>1612.2431999999999</v>
      </c>
    </row>
    <row r="161" spans="3:17" s="618" customFormat="1" x14ac:dyDescent="0.25">
      <c r="C161" s="1233"/>
      <c r="D161" s="1271"/>
      <c r="E161" s="1276"/>
      <c r="F161" s="1285"/>
      <c r="G161" s="1285"/>
      <c r="H161" s="1285"/>
      <c r="I161" s="1285"/>
      <c r="J161" s="1285"/>
      <c r="K161" s="1285"/>
      <c r="L161" s="1285"/>
      <c r="M161" s="1285"/>
      <c r="N161" s="1282"/>
      <c r="O161" s="1284"/>
      <c r="P161" s="1272"/>
      <c r="Q161" s="1274"/>
    </row>
    <row r="162" spans="3:17" s="618" customFormat="1" x14ac:dyDescent="0.25">
      <c r="C162" s="1233"/>
      <c r="D162" s="1271"/>
      <c r="E162" s="1276"/>
      <c r="F162" s="1272"/>
      <c r="G162" s="1272"/>
      <c r="H162" s="1272"/>
      <c r="I162" s="1272"/>
      <c r="J162" s="1272"/>
      <c r="K162" s="1272"/>
      <c r="L162" s="1272"/>
      <c r="M162" s="1272"/>
      <c r="N162" s="1278" t="s">
        <v>933</v>
      </c>
      <c r="O162" s="1278"/>
      <c r="P162" s="1278"/>
      <c r="Q162" s="1346">
        <f>SUM(Q160:Q161)</f>
        <v>1612.2431999999999</v>
      </c>
    </row>
    <row r="163" spans="3:17" s="618" customFormat="1" x14ac:dyDescent="0.25">
      <c r="C163" s="1233"/>
      <c r="D163" s="1271"/>
      <c r="E163" s="1276"/>
      <c r="F163" s="1272"/>
      <c r="G163" s="1272"/>
      <c r="H163" s="1272"/>
      <c r="I163" s="1272"/>
      <c r="J163" s="1272"/>
      <c r="K163" s="1272"/>
      <c r="L163" s="1272"/>
      <c r="M163" s="1272"/>
      <c r="N163" s="1282"/>
      <c r="O163" s="1286"/>
      <c r="P163" s="1286"/>
      <c r="Q163" s="1275"/>
    </row>
    <row r="164" spans="3:17" s="618" customFormat="1" x14ac:dyDescent="0.25">
      <c r="C164" s="1233"/>
      <c r="D164" s="1271"/>
      <c r="E164" s="562" t="s">
        <v>378</v>
      </c>
      <c r="F164" s="1272"/>
      <c r="G164" s="1272"/>
      <c r="H164" s="1272"/>
      <c r="I164" s="1272"/>
      <c r="J164" s="1272"/>
      <c r="K164" s="1272"/>
      <c r="L164" s="1272"/>
      <c r="M164" s="1272"/>
      <c r="N164" s="1272"/>
      <c r="O164" s="1272"/>
      <c r="P164" s="1273"/>
      <c r="Q164" s="1274"/>
    </row>
    <row r="165" spans="3:17" s="618" customFormat="1" x14ac:dyDescent="0.25">
      <c r="C165" s="1233"/>
      <c r="D165" s="563">
        <v>1109671</v>
      </c>
      <c r="E165" s="568" t="s">
        <v>934</v>
      </c>
      <c r="F165" s="1287"/>
      <c r="G165" s="1287"/>
      <c r="H165" s="1287"/>
      <c r="I165" s="1287"/>
      <c r="J165" s="1287"/>
      <c r="K165" s="1287"/>
      <c r="L165" s="1287"/>
      <c r="M165" s="1287"/>
      <c r="N165" s="1287" t="s">
        <v>11</v>
      </c>
      <c r="O165" s="1347">
        <v>3.09E-2</v>
      </c>
      <c r="P165" s="1348">
        <v>330.12</v>
      </c>
      <c r="Q165" s="1349">
        <f t="shared" ref="Q165:Q167" si="16">O165*P165</f>
        <v>10.200708000000001</v>
      </c>
    </row>
    <row r="166" spans="3:17" s="618" customFormat="1" x14ac:dyDescent="0.25">
      <c r="C166" s="1233"/>
      <c r="D166" s="563">
        <v>1106165</v>
      </c>
      <c r="E166" s="568" t="s">
        <v>935</v>
      </c>
      <c r="F166" s="1272"/>
      <c r="G166" s="1272"/>
      <c r="H166" s="1272"/>
      <c r="I166" s="1272"/>
      <c r="J166" s="1272"/>
      <c r="K166" s="1272"/>
      <c r="L166" s="1272"/>
      <c r="M166" s="1272"/>
      <c r="N166" s="1287" t="s">
        <v>11</v>
      </c>
      <c r="O166" s="1350">
        <v>1.708</v>
      </c>
      <c r="P166" s="1344">
        <v>262.04000000000002</v>
      </c>
      <c r="Q166" s="1346">
        <f t="shared" si="16"/>
        <v>447.56432000000001</v>
      </c>
    </row>
    <row r="167" spans="3:17" s="618" customFormat="1" x14ac:dyDescent="0.25">
      <c r="C167" s="1233"/>
      <c r="D167" s="563">
        <v>3103302</v>
      </c>
      <c r="E167" s="568" t="s">
        <v>936</v>
      </c>
      <c r="F167" s="1272"/>
      <c r="G167" s="1272"/>
      <c r="H167" s="1272"/>
      <c r="I167" s="1272"/>
      <c r="J167" s="1272"/>
      <c r="K167" s="1272"/>
      <c r="L167" s="1272"/>
      <c r="M167" s="1272"/>
      <c r="N167" s="1287" t="s">
        <v>11</v>
      </c>
      <c r="O167" s="1343">
        <v>0.9</v>
      </c>
      <c r="P167" s="1344">
        <v>60.18</v>
      </c>
      <c r="Q167" s="1346">
        <f t="shared" si="16"/>
        <v>54.161999999999999</v>
      </c>
    </row>
    <row r="168" spans="3:17" s="618" customFormat="1" x14ac:dyDescent="0.25">
      <c r="C168" s="1233"/>
      <c r="D168" s="1271"/>
      <c r="E168" s="1276"/>
      <c r="F168" s="1272"/>
      <c r="G168" s="1272"/>
      <c r="H168" s="1272"/>
      <c r="I168" s="1272"/>
      <c r="J168" s="1272"/>
      <c r="K168" s="1272"/>
      <c r="L168" s="1272"/>
      <c r="M168" s="1272"/>
      <c r="N168" s="1277" t="s">
        <v>937</v>
      </c>
      <c r="O168" s="1277"/>
      <c r="P168" s="1277"/>
      <c r="Q168" s="1345">
        <f>SUM(Q165:Q167)</f>
        <v>511.92702800000001</v>
      </c>
    </row>
    <row r="169" spans="3:17" s="618" customFormat="1" x14ac:dyDescent="0.25">
      <c r="C169" s="1233"/>
      <c r="D169" s="1271"/>
      <c r="E169" s="1276"/>
      <c r="F169" s="1272"/>
      <c r="G169" s="1272"/>
      <c r="H169" s="1272"/>
      <c r="I169" s="1272"/>
      <c r="J169" s="1272"/>
      <c r="K169" s="1272"/>
      <c r="L169" s="1272"/>
      <c r="M169" s="1272"/>
      <c r="N169" s="1282"/>
      <c r="O169" s="1286"/>
      <c r="P169" s="1286"/>
      <c r="Q169" s="1275"/>
    </row>
    <row r="170" spans="3:17" s="618" customFormat="1" x14ac:dyDescent="0.25">
      <c r="C170" s="1233"/>
      <c r="D170" s="1271"/>
      <c r="E170" s="1276"/>
      <c r="F170" s="1272"/>
      <c r="G170" s="1272"/>
      <c r="H170" s="1272"/>
      <c r="I170" s="1272"/>
      <c r="J170" s="1272"/>
      <c r="K170" s="1272"/>
      <c r="L170" s="1272"/>
      <c r="M170" s="1272"/>
      <c r="N170" s="1282"/>
      <c r="O170" s="1280" t="s">
        <v>384</v>
      </c>
      <c r="P170" s="1280"/>
      <c r="Q170" s="1346">
        <f>Q158+Q162+Q168</f>
        <v>2377.4969749879515</v>
      </c>
    </row>
    <row r="171" spans="3:17" s="618" customFormat="1" x14ac:dyDescent="0.25">
      <c r="C171" s="1233"/>
      <c r="D171" s="1271"/>
      <c r="E171" s="1276"/>
      <c r="F171" s="1272"/>
      <c r="G171" s="1272"/>
      <c r="H171" s="1272"/>
      <c r="I171" s="1272"/>
      <c r="J171" s="1272"/>
      <c r="K171" s="1272"/>
      <c r="L171" s="1272"/>
      <c r="M171" s="1272"/>
      <c r="N171" s="1282"/>
      <c r="O171" s="1286" t="s">
        <v>226</v>
      </c>
      <c r="P171" s="1351"/>
      <c r="Q171" s="1346">
        <f>0.26*Q170</f>
        <v>618.14921349686745</v>
      </c>
    </row>
    <row r="172" spans="3:17" s="618" customFormat="1" x14ac:dyDescent="0.25">
      <c r="C172" s="1233"/>
      <c r="D172" s="1271"/>
      <c r="E172" s="1276"/>
      <c r="F172" s="1272"/>
      <c r="G172" s="1272"/>
      <c r="H172" s="1272"/>
      <c r="I172" s="1272"/>
      <c r="J172" s="1272"/>
      <c r="K172" s="1272"/>
      <c r="L172" s="1272"/>
      <c r="M172" s="1272"/>
      <c r="N172" s="1288" t="s">
        <v>263</v>
      </c>
      <c r="O172" s="1288"/>
      <c r="P172" s="1352">
        <f>(Q170+Q171)</f>
        <v>2995.646188484819</v>
      </c>
      <c r="Q172" s="1353"/>
    </row>
    <row r="173" spans="3:17" s="618" customFormat="1" x14ac:dyDescent="0.25">
      <c r="C173" s="1233"/>
      <c r="D173" s="1235"/>
      <c r="E173" s="1235"/>
      <c r="F173" s="573"/>
      <c r="G173" s="1235"/>
      <c r="H173" s="592"/>
      <c r="I173" s="592"/>
      <c r="J173" s="1229"/>
      <c r="K173" s="574"/>
      <c r="L173" s="1229"/>
      <c r="M173" s="1229"/>
      <c r="N173" s="1229"/>
      <c r="O173" s="1229"/>
      <c r="P173" s="1229"/>
      <c r="Q173" s="1230"/>
    </row>
    <row r="174" spans="3:17" s="618" customFormat="1" x14ac:dyDescent="0.25">
      <c r="C174" s="1233"/>
      <c r="D174" s="1235"/>
      <c r="E174" s="1235"/>
      <c r="F174" s="573"/>
      <c r="G174" s="1235"/>
      <c r="H174" s="592"/>
      <c r="I174" s="592"/>
      <c r="J174" s="1229"/>
      <c r="K174" s="574"/>
      <c r="L174" s="1229"/>
      <c r="M174" s="1229"/>
      <c r="N174" s="1229"/>
      <c r="O174" s="1229"/>
      <c r="P174" s="1229"/>
      <c r="Q174" s="1230"/>
    </row>
    <row r="175" spans="3:17" s="618" customFormat="1" x14ac:dyDescent="0.25">
      <c r="C175" s="552" t="s">
        <v>13</v>
      </c>
      <c r="D175" s="553" t="str">
        <f>'PLANILHA ORÇAMENTÁRIA'!C58</f>
        <v>Corpo de BTTC D= 1,00m - Fornecimento e assentamento</v>
      </c>
      <c r="E175" s="1235"/>
      <c r="F175" s="573"/>
      <c r="G175" s="1235"/>
      <c r="H175" s="592"/>
      <c r="I175" s="592"/>
      <c r="J175" s="1229"/>
      <c r="K175" s="574"/>
      <c r="L175" s="592"/>
      <c r="M175" s="1235"/>
      <c r="N175" s="1229"/>
      <c r="O175" s="1229"/>
      <c r="P175" s="1229"/>
      <c r="Q175" s="1241"/>
    </row>
    <row r="176" spans="3:17" s="618" customFormat="1" x14ac:dyDescent="0.25">
      <c r="C176" s="1233"/>
      <c r="D176" s="1271"/>
      <c r="E176" s="562" t="s">
        <v>386</v>
      </c>
      <c r="F176" s="1272"/>
      <c r="G176" s="1272"/>
      <c r="H176" s="1272"/>
      <c r="I176" s="1272"/>
      <c r="J176" s="1272"/>
      <c r="K176" s="1272"/>
      <c r="L176" s="1272"/>
      <c r="M176" s="1272"/>
      <c r="N176" s="1272"/>
      <c r="O176" s="1272"/>
      <c r="P176" s="1273"/>
      <c r="Q176" s="1346">
        <f t="shared" ref="Q176:Q177" si="17">O176*P176</f>
        <v>0</v>
      </c>
    </row>
    <row r="177" spans="3:17" s="618" customFormat="1" x14ac:dyDescent="0.25">
      <c r="C177" s="1233"/>
      <c r="D177" s="563" t="s">
        <v>928</v>
      </c>
      <c r="E177" s="568" t="s">
        <v>929</v>
      </c>
      <c r="F177" s="573"/>
      <c r="G177" s="1235"/>
      <c r="H177" s="592"/>
      <c r="I177" s="592"/>
      <c r="J177" s="1229"/>
      <c r="K177" s="574"/>
      <c r="L177" s="592"/>
      <c r="M177" s="1235"/>
      <c r="N177" s="1272"/>
      <c r="O177" s="1272">
        <v>1</v>
      </c>
      <c r="P177" s="1273">
        <v>216.45249999999999</v>
      </c>
      <c r="Q177" s="1345">
        <f t="shared" si="17"/>
        <v>216.45249999999999</v>
      </c>
    </row>
    <row r="178" spans="3:17" s="618" customFormat="1" ht="15" customHeight="1" x14ac:dyDescent="0.25">
      <c r="C178" s="1233"/>
      <c r="D178" s="1271"/>
      <c r="E178" s="1276"/>
      <c r="F178" s="1272"/>
      <c r="G178" s="1272"/>
      <c r="H178" s="1272"/>
      <c r="I178" s="1272"/>
      <c r="J178" s="1272"/>
      <c r="K178" s="1272"/>
      <c r="L178" s="1272"/>
      <c r="M178" s="1272"/>
      <c r="N178" s="1277" t="s">
        <v>364</v>
      </c>
      <c r="O178" s="1277"/>
      <c r="P178" s="1277"/>
      <c r="Q178" s="1346">
        <f>SUM(Q177:Q177)</f>
        <v>216.45249999999999</v>
      </c>
    </row>
    <row r="179" spans="3:17" s="618" customFormat="1" x14ac:dyDescent="0.25">
      <c r="C179" s="1233"/>
      <c r="D179" s="1271"/>
      <c r="E179" s="562" t="s">
        <v>395</v>
      </c>
      <c r="F179" s="1272"/>
      <c r="G179" s="1272"/>
      <c r="H179" s="1272"/>
      <c r="I179" s="1272"/>
      <c r="J179" s="1272"/>
      <c r="K179" s="1272"/>
      <c r="L179" s="1272"/>
      <c r="M179" s="1272"/>
      <c r="N179" s="1272"/>
      <c r="O179" s="1272"/>
      <c r="P179" s="1273"/>
      <c r="Q179" s="1274"/>
    </row>
    <row r="180" spans="3:17" s="618" customFormat="1" x14ac:dyDescent="0.25">
      <c r="C180" s="1233"/>
      <c r="D180" s="563" t="s">
        <v>712</v>
      </c>
      <c r="E180" s="568" t="s">
        <v>369</v>
      </c>
      <c r="F180" s="573"/>
      <c r="G180" s="1235"/>
      <c r="H180" s="592"/>
      <c r="I180" s="592"/>
      <c r="J180" s="1229"/>
      <c r="K180" s="574"/>
      <c r="L180" s="592"/>
      <c r="M180" s="1235"/>
      <c r="N180" s="1272" t="s">
        <v>48</v>
      </c>
      <c r="O180" s="1272">
        <v>3</v>
      </c>
      <c r="P180" s="1273">
        <v>15.458</v>
      </c>
      <c r="Q180" s="1345">
        <f t="shared" ref="Q180" si="18">O180*P180</f>
        <v>46.374000000000002</v>
      </c>
    </row>
    <row r="181" spans="3:17" s="618" customFormat="1" ht="15" customHeight="1" x14ac:dyDescent="0.25">
      <c r="C181" s="1233"/>
      <c r="D181" s="1271"/>
      <c r="E181" s="1276"/>
      <c r="F181" s="1272"/>
      <c r="G181" s="1272"/>
      <c r="H181" s="1272"/>
      <c r="I181" s="1272"/>
      <c r="J181" s="1272"/>
      <c r="K181" s="1272"/>
      <c r="L181" s="1272"/>
      <c r="M181" s="1272"/>
      <c r="N181" s="1278" t="s">
        <v>370</v>
      </c>
      <c r="O181" s="1278"/>
      <c r="P181" s="1278"/>
      <c r="Q181" s="1346">
        <f>SUM(Q180:Q180)</f>
        <v>46.374000000000002</v>
      </c>
    </row>
    <row r="182" spans="3:17" s="618" customFormat="1" ht="15" customHeight="1" x14ac:dyDescent="0.25">
      <c r="C182" s="1233"/>
      <c r="D182" s="1271"/>
      <c r="E182" s="1276"/>
      <c r="F182" s="1279"/>
      <c r="G182" s="1279"/>
      <c r="H182" s="1279"/>
      <c r="I182" s="1279"/>
      <c r="J182" s="1279"/>
      <c r="K182" s="1279"/>
      <c r="L182" s="1279"/>
      <c r="M182" s="1279"/>
      <c r="N182" s="1280" t="s">
        <v>371</v>
      </c>
      <c r="O182" s="1280"/>
      <c r="P182" s="1281">
        <v>0</v>
      </c>
      <c r="Q182" s="1346">
        <f>P182*Q181</f>
        <v>0</v>
      </c>
    </row>
    <row r="183" spans="3:17" s="618" customFormat="1" ht="15" customHeight="1" x14ac:dyDescent="0.25">
      <c r="C183" s="1233"/>
      <c r="D183" s="1271"/>
      <c r="E183" s="1276"/>
      <c r="F183" s="1272"/>
      <c r="G183" s="1272"/>
      <c r="H183" s="1272"/>
      <c r="I183" s="1272"/>
      <c r="J183" s="1272"/>
      <c r="K183" s="1272"/>
      <c r="L183" s="1272"/>
      <c r="M183" s="1272"/>
      <c r="N183" s="1282"/>
      <c r="O183" s="1280" t="s">
        <v>372</v>
      </c>
      <c r="P183" s="1280"/>
      <c r="Q183" s="1346">
        <f>Q181+Q182+Q178</f>
        <v>262.82650000000001</v>
      </c>
    </row>
    <row r="184" spans="3:17" s="618" customFormat="1" ht="15" customHeight="1" x14ac:dyDescent="0.25">
      <c r="C184" s="1233"/>
      <c r="D184" s="1271"/>
      <c r="E184" s="1276"/>
      <c r="F184" s="1272"/>
      <c r="G184" s="1272"/>
      <c r="H184" s="1272"/>
      <c r="I184" s="1272"/>
      <c r="J184" s="1272"/>
      <c r="K184" s="1272"/>
      <c r="L184" s="1272"/>
      <c r="M184" s="1272"/>
      <c r="N184" s="1282"/>
      <c r="O184" s="1280" t="s">
        <v>373</v>
      </c>
      <c r="P184" s="1280"/>
      <c r="Q184" s="1345">
        <f>Q183/1.0375</f>
        <v>253.32674698795179</v>
      </c>
    </row>
    <row r="185" spans="3:17" s="618" customFormat="1" x14ac:dyDescent="0.25">
      <c r="C185" s="1233"/>
      <c r="D185" s="1271"/>
      <c r="E185" s="1276"/>
      <c r="F185" s="1272"/>
      <c r="G185" s="1272"/>
      <c r="H185" s="1272"/>
      <c r="I185" s="1272"/>
      <c r="J185" s="1272"/>
      <c r="K185" s="1272"/>
      <c r="L185" s="1272"/>
      <c r="M185" s="1272"/>
      <c r="N185" s="1282"/>
      <c r="O185" s="1280" t="s">
        <v>711</v>
      </c>
      <c r="P185" s="1280"/>
      <c r="Q185" s="1345">
        <v>0</v>
      </c>
    </row>
    <row r="186" spans="3:17" s="618" customFormat="1" x14ac:dyDescent="0.25">
      <c r="C186" s="1233"/>
      <c r="D186" s="1271"/>
      <c r="E186" s="1276"/>
      <c r="F186" s="1272"/>
      <c r="G186" s="1272"/>
      <c r="H186" s="1272"/>
      <c r="I186" s="1272"/>
      <c r="J186" s="1272"/>
      <c r="K186" s="1272"/>
      <c r="L186" s="1272"/>
      <c r="M186" s="1272"/>
      <c r="N186" s="1282"/>
      <c r="O186" s="1283" t="s">
        <v>930</v>
      </c>
      <c r="P186" s="1283"/>
      <c r="Q186" s="1345">
        <f>Q184+Q185</f>
        <v>253.32674698795179</v>
      </c>
    </row>
    <row r="187" spans="3:17" s="618" customFormat="1" x14ac:dyDescent="0.25">
      <c r="C187" s="1233"/>
      <c r="D187" s="1271"/>
      <c r="E187" s="562" t="s">
        <v>631</v>
      </c>
      <c r="F187" s="1272"/>
      <c r="G187" s="1272"/>
      <c r="H187" s="1272"/>
      <c r="I187" s="1272"/>
      <c r="J187" s="1272"/>
      <c r="K187" s="1272"/>
      <c r="L187" s="1272"/>
      <c r="M187" s="1272"/>
      <c r="N187" s="1272"/>
      <c r="O187" s="1272"/>
      <c r="P187" s="1273"/>
      <c r="Q187" s="1274"/>
    </row>
    <row r="188" spans="3:17" s="618" customFormat="1" x14ac:dyDescent="0.25">
      <c r="C188" s="1233"/>
      <c r="D188" s="563" t="s">
        <v>939</v>
      </c>
      <c r="E188" s="568" t="s">
        <v>938</v>
      </c>
      <c r="F188" s="1279"/>
      <c r="G188" s="1279"/>
      <c r="H188" s="1279"/>
      <c r="I188" s="1279"/>
      <c r="J188" s="1279"/>
      <c r="K188" s="1279"/>
      <c r="L188" s="1279"/>
      <c r="M188" s="1279"/>
      <c r="N188" s="1282" t="s">
        <v>12</v>
      </c>
      <c r="O188" s="1284">
        <v>3</v>
      </c>
      <c r="P188" s="1272">
        <v>403.06079999999997</v>
      </c>
      <c r="Q188" s="1346">
        <f t="shared" ref="Q188" si="19">O188*P188</f>
        <v>1209.1823999999999</v>
      </c>
    </row>
    <row r="189" spans="3:17" s="618" customFormat="1" x14ac:dyDescent="0.25">
      <c r="C189" s="1233"/>
      <c r="D189" s="1271"/>
      <c r="E189" s="1276"/>
      <c r="F189" s="1285"/>
      <c r="G189" s="1285"/>
      <c r="H189" s="1285"/>
      <c r="I189" s="1285"/>
      <c r="J189" s="1285"/>
      <c r="K189" s="1285"/>
      <c r="L189" s="1285"/>
      <c r="M189" s="1285"/>
      <c r="N189" s="1282"/>
      <c r="O189" s="1284"/>
      <c r="P189" s="1272"/>
      <c r="Q189" s="1274"/>
    </row>
    <row r="190" spans="3:17" s="618" customFormat="1" ht="15" customHeight="1" x14ac:dyDescent="0.25">
      <c r="C190" s="1233"/>
      <c r="D190" s="1271"/>
      <c r="E190" s="1276"/>
      <c r="F190" s="1272"/>
      <c r="G190" s="1272"/>
      <c r="H190" s="1272"/>
      <c r="I190" s="1272"/>
      <c r="J190" s="1272"/>
      <c r="K190" s="1272"/>
      <c r="L190" s="1272"/>
      <c r="M190" s="1272"/>
      <c r="N190" s="1278" t="s">
        <v>933</v>
      </c>
      <c r="O190" s="1278"/>
      <c r="P190" s="1278"/>
      <c r="Q190" s="1346">
        <f>SUM(Q188:Q189)</f>
        <v>1209.1823999999999</v>
      </c>
    </row>
    <row r="191" spans="3:17" s="618" customFormat="1" x14ac:dyDescent="0.25">
      <c r="C191" s="1233"/>
      <c r="D191" s="1271"/>
      <c r="E191" s="1276"/>
      <c r="F191" s="1272"/>
      <c r="G191" s="1272"/>
      <c r="H191" s="1272"/>
      <c r="I191" s="1272"/>
      <c r="J191" s="1272"/>
      <c r="K191" s="1272"/>
      <c r="L191" s="1272"/>
      <c r="M191" s="1272"/>
      <c r="N191" s="1282"/>
      <c r="O191" s="1286"/>
      <c r="P191" s="1286"/>
      <c r="Q191" s="1275"/>
    </row>
    <row r="192" spans="3:17" s="618" customFormat="1" x14ac:dyDescent="0.25">
      <c r="C192" s="1233"/>
      <c r="D192" s="1271"/>
      <c r="E192" s="562" t="s">
        <v>378</v>
      </c>
      <c r="F192" s="1272"/>
      <c r="G192" s="1272"/>
      <c r="H192" s="1272"/>
      <c r="I192" s="1272"/>
      <c r="J192" s="1272"/>
      <c r="K192" s="1272"/>
      <c r="L192" s="1272"/>
      <c r="M192" s="1272"/>
      <c r="N192" s="1272"/>
      <c r="O192" s="1272"/>
      <c r="P192" s="1273"/>
      <c r="Q192" s="1274"/>
    </row>
    <row r="193" spans="3:17" s="618" customFormat="1" x14ac:dyDescent="0.25">
      <c r="C193" s="1233"/>
      <c r="D193" s="563">
        <v>1109671</v>
      </c>
      <c r="E193" s="568" t="s">
        <v>934</v>
      </c>
      <c r="F193" s="1287"/>
      <c r="G193" s="1287"/>
      <c r="H193" s="1287"/>
      <c r="I193" s="1287"/>
      <c r="J193" s="1287"/>
      <c r="K193" s="1287"/>
      <c r="L193" s="1287"/>
      <c r="M193" s="1287"/>
      <c r="N193" s="1287" t="s">
        <v>11</v>
      </c>
      <c r="O193" s="1354">
        <v>2.2040000000000001E-2</v>
      </c>
      <c r="P193" s="1348">
        <v>330.12</v>
      </c>
      <c r="Q193" s="1349">
        <f t="shared" ref="Q193:Q195" si="20">O193*P193</f>
        <v>7.2758448000000007</v>
      </c>
    </row>
    <row r="194" spans="3:17" s="618" customFormat="1" x14ac:dyDescent="0.25">
      <c r="C194" s="1233"/>
      <c r="D194" s="563">
        <v>1106165</v>
      </c>
      <c r="E194" s="568" t="s">
        <v>935</v>
      </c>
      <c r="F194" s="1272"/>
      <c r="G194" s="1272"/>
      <c r="H194" s="1272"/>
      <c r="I194" s="1272"/>
      <c r="J194" s="1272"/>
      <c r="K194" s="1272"/>
      <c r="L194" s="1272"/>
      <c r="M194" s="1272"/>
      <c r="N194" s="1287" t="s">
        <v>11</v>
      </c>
      <c r="O194" s="1343">
        <v>1.246</v>
      </c>
      <c r="P194" s="1344">
        <v>262.04000000000002</v>
      </c>
      <c r="Q194" s="1346">
        <f t="shared" si="20"/>
        <v>326.50184000000002</v>
      </c>
    </row>
    <row r="195" spans="3:17" s="618" customFormat="1" x14ac:dyDescent="0.25">
      <c r="C195" s="1233"/>
      <c r="D195" s="563">
        <v>3103302</v>
      </c>
      <c r="E195" s="568" t="s">
        <v>936</v>
      </c>
      <c r="F195" s="1272"/>
      <c r="G195" s="1272"/>
      <c r="H195" s="1272"/>
      <c r="I195" s="1272"/>
      <c r="J195" s="1272"/>
      <c r="K195" s="1272"/>
      <c r="L195" s="1272"/>
      <c r="M195" s="1272"/>
      <c r="N195" s="1287" t="s">
        <v>11</v>
      </c>
      <c r="O195" s="1343">
        <v>0.8</v>
      </c>
      <c r="P195" s="1344">
        <v>60.18</v>
      </c>
      <c r="Q195" s="1346">
        <f t="shared" si="20"/>
        <v>48.144000000000005</v>
      </c>
    </row>
    <row r="196" spans="3:17" s="618" customFormat="1" ht="15" customHeight="1" x14ac:dyDescent="0.25">
      <c r="C196" s="1233"/>
      <c r="D196" s="1271"/>
      <c r="E196" s="1276"/>
      <c r="F196" s="1272"/>
      <c r="G196" s="1272"/>
      <c r="H196" s="1272"/>
      <c r="I196" s="1272"/>
      <c r="J196" s="1272"/>
      <c r="K196" s="1272"/>
      <c r="L196" s="1272"/>
      <c r="M196" s="1272"/>
      <c r="N196" s="1277" t="s">
        <v>937</v>
      </c>
      <c r="O196" s="1277"/>
      <c r="P196" s="1277"/>
      <c r="Q196" s="1345">
        <f>SUM(Q193:Q195)</f>
        <v>381.92168480000004</v>
      </c>
    </row>
    <row r="197" spans="3:17" s="618" customFormat="1" x14ac:dyDescent="0.25">
      <c r="C197" s="1233"/>
      <c r="D197" s="1271"/>
      <c r="E197" s="1276"/>
      <c r="F197" s="1272"/>
      <c r="G197" s="1272"/>
      <c r="H197" s="1272"/>
      <c r="I197" s="1272"/>
      <c r="J197" s="1272"/>
      <c r="K197" s="1272"/>
      <c r="L197" s="1272"/>
      <c r="M197" s="1272"/>
      <c r="N197" s="1282"/>
      <c r="O197" s="1286"/>
      <c r="P197" s="1286"/>
      <c r="Q197" s="1275"/>
    </row>
    <row r="198" spans="3:17" s="618" customFormat="1" ht="15" customHeight="1" x14ac:dyDescent="0.25">
      <c r="C198" s="1233"/>
      <c r="D198" s="1271"/>
      <c r="E198" s="1276"/>
      <c r="F198" s="1272"/>
      <c r="G198" s="1272"/>
      <c r="H198" s="1272"/>
      <c r="I198" s="1272"/>
      <c r="J198" s="1272"/>
      <c r="K198" s="1272"/>
      <c r="L198" s="1272"/>
      <c r="M198" s="1272"/>
      <c r="N198" s="1282"/>
      <c r="O198" s="1280" t="s">
        <v>384</v>
      </c>
      <c r="P198" s="1280"/>
      <c r="Q198" s="1346">
        <f>Q186+Q190+Q196</f>
        <v>1844.4308317879518</v>
      </c>
    </row>
    <row r="199" spans="3:17" s="618" customFormat="1" x14ac:dyDescent="0.25">
      <c r="C199" s="1233"/>
      <c r="D199" s="1271"/>
      <c r="E199" s="1276"/>
      <c r="F199" s="1272"/>
      <c r="G199" s="1272"/>
      <c r="H199" s="1272"/>
      <c r="I199" s="1272"/>
      <c r="J199" s="1272"/>
      <c r="K199" s="1272"/>
      <c r="L199" s="1272"/>
      <c r="M199" s="1272"/>
      <c r="N199" s="1282"/>
      <c r="O199" s="1286" t="s">
        <v>226</v>
      </c>
      <c r="P199" s="1281"/>
      <c r="Q199" s="1346">
        <f>0.26*Q198</f>
        <v>479.55201626486746</v>
      </c>
    </row>
    <row r="200" spans="3:17" s="618" customFormat="1" ht="15" customHeight="1" x14ac:dyDescent="0.25">
      <c r="C200" s="1233"/>
      <c r="D200" s="1271"/>
      <c r="E200" s="1276"/>
      <c r="F200" s="1272"/>
      <c r="G200" s="1272"/>
      <c r="H200" s="1272"/>
      <c r="I200" s="1272"/>
      <c r="J200" s="1272"/>
      <c r="K200" s="1272"/>
      <c r="L200" s="1272"/>
      <c r="M200" s="1272"/>
      <c r="N200" s="1288" t="s">
        <v>263</v>
      </c>
      <c r="O200" s="1288"/>
      <c r="P200" s="1352">
        <f>(Q198+Q199)</f>
        <v>2323.9828480528195</v>
      </c>
      <c r="Q200" s="1353"/>
    </row>
    <row r="201" spans="3:17" s="618" customFormat="1" ht="15" customHeight="1" x14ac:dyDescent="0.25">
      <c r="C201" s="1233"/>
      <c r="D201" s="1271"/>
      <c r="E201" s="1276"/>
      <c r="F201" s="1272"/>
      <c r="G201" s="1272"/>
      <c r="H201" s="1272"/>
      <c r="I201" s="1272"/>
      <c r="J201" s="1272"/>
      <c r="K201" s="1272"/>
      <c r="L201" s="1272"/>
      <c r="M201" s="1272"/>
      <c r="N201" s="1289"/>
      <c r="O201" s="1289"/>
      <c r="P201" s="1290"/>
      <c r="Q201" s="1291"/>
    </row>
    <row r="202" spans="3:17" s="618" customFormat="1" ht="15" customHeight="1" x14ac:dyDescent="0.25">
      <c r="C202" s="552" t="s">
        <v>205</v>
      </c>
      <c r="D202" s="553" t="str">
        <f>'PLANILHA ORÇAMENTÁRIA'!C59</f>
        <v>Corpo de BDTC D= 1,00m - Fornecimento e assentamento</v>
      </c>
      <c r="E202" s="1235"/>
      <c r="F202" s="573"/>
      <c r="G202" s="1235"/>
      <c r="H202" s="592"/>
      <c r="I202" s="592"/>
      <c r="J202" s="1229"/>
      <c r="K202" s="574"/>
      <c r="L202" s="592"/>
      <c r="M202" s="1235"/>
      <c r="N202" s="1229"/>
      <c r="O202" s="1229"/>
      <c r="P202" s="1229"/>
      <c r="Q202" s="1241"/>
    </row>
    <row r="203" spans="3:17" s="618" customFormat="1" ht="15" customHeight="1" x14ac:dyDescent="0.25">
      <c r="C203" s="1233"/>
      <c r="D203" s="1271"/>
      <c r="E203" s="562" t="s">
        <v>386</v>
      </c>
      <c r="F203" s="1272"/>
      <c r="G203" s="1272"/>
      <c r="H203" s="1272"/>
      <c r="I203" s="1272"/>
      <c r="J203" s="1272"/>
      <c r="K203" s="1272"/>
      <c r="L203" s="1272"/>
      <c r="M203" s="1272"/>
      <c r="N203" s="1272"/>
      <c r="O203" s="1272"/>
      <c r="P203" s="1273"/>
      <c r="Q203" s="1346">
        <f t="shared" ref="Q203:Q204" si="21">O203*P203</f>
        <v>0</v>
      </c>
    </row>
    <row r="204" spans="3:17" s="618" customFormat="1" ht="15" customHeight="1" x14ac:dyDescent="0.25">
      <c r="C204" s="1233"/>
      <c r="D204" s="563" t="s">
        <v>928</v>
      </c>
      <c r="E204" s="568" t="s">
        <v>929</v>
      </c>
      <c r="F204" s="573"/>
      <c r="G204" s="1235"/>
      <c r="H204" s="592"/>
      <c r="I204" s="592"/>
      <c r="J204" s="1229"/>
      <c r="K204" s="574"/>
      <c r="L204" s="592"/>
      <c r="M204" s="1235"/>
      <c r="N204" s="1272"/>
      <c r="O204" s="1272">
        <v>1</v>
      </c>
      <c r="P204" s="1344">
        <v>216.45249999999999</v>
      </c>
      <c r="Q204" s="1345">
        <f t="shared" si="21"/>
        <v>216.45249999999999</v>
      </c>
    </row>
    <row r="205" spans="3:17" s="618" customFormat="1" ht="15" customHeight="1" x14ac:dyDescent="0.25">
      <c r="C205" s="1233"/>
      <c r="D205" s="1271"/>
      <c r="E205" s="1276"/>
      <c r="F205" s="1272"/>
      <c r="G205" s="1272"/>
      <c r="H205" s="1272"/>
      <c r="I205" s="1272"/>
      <c r="J205" s="1272"/>
      <c r="K205" s="1272"/>
      <c r="L205" s="1272"/>
      <c r="M205" s="1272"/>
      <c r="N205" s="1277" t="s">
        <v>364</v>
      </c>
      <c r="O205" s="1277"/>
      <c r="P205" s="1277"/>
      <c r="Q205" s="1346">
        <f>SUM(Q204:Q204)</f>
        <v>216.45249999999999</v>
      </c>
    </row>
    <row r="206" spans="3:17" s="618" customFormat="1" ht="15" customHeight="1" x14ac:dyDescent="0.25">
      <c r="C206" s="1233"/>
      <c r="D206" s="1271"/>
      <c r="E206" s="562" t="s">
        <v>395</v>
      </c>
      <c r="F206" s="1272"/>
      <c r="G206" s="1272"/>
      <c r="H206" s="1272"/>
      <c r="I206" s="1272"/>
      <c r="J206" s="1272"/>
      <c r="K206" s="1272"/>
      <c r="L206" s="1272"/>
      <c r="M206" s="1272"/>
      <c r="N206" s="1272"/>
      <c r="O206" s="1272"/>
      <c r="P206" s="1273"/>
      <c r="Q206" s="1274"/>
    </row>
    <row r="207" spans="3:17" s="618" customFormat="1" ht="15" customHeight="1" x14ac:dyDescent="0.25">
      <c r="C207" s="1233"/>
      <c r="D207" s="563" t="s">
        <v>712</v>
      </c>
      <c r="E207" s="568" t="s">
        <v>369</v>
      </c>
      <c r="F207" s="573"/>
      <c r="G207" s="1235"/>
      <c r="H207" s="592"/>
      <c r="I207" s="592"/>
      <c r="J207" s="1229"/>
      <c r="K207" s="574"/>
      <c r="L207" s="592"/>
      <c r="M207" s="1235"/>
      <c r="N207" s="1272" t="s">
        <v>48</v>
      </c>
      <c r="O207" s="1343">
        <v>3</v>
      </c>
      <c r="P207" s="1344">
        <v>15.458</v>
      </c>
      <c r="Q207" s="1345">
        <f t="shared" ref="Q207" si="22">O207*P207</f>
        <v>46.374000000000002</v>
      </c>
    </row>
    <row r="208" spans="3:17" s="618" customFormat="1" ht="15" customHeight="1" x14ac:dyDescent="0.25">
      <c r="C208" s="1233"/>
      <c r="D208" s="1271"/>
      <c r="E208" s="1276"/>
      <c r="F208" s="1272"/>
      <c r="G208" s="1272"/>
      <c r="H208" s="1272"/>
      <c r="I208" s="1272"/>
      <c r="J208" s="1272"/>
      <c r="K208" s="1272"/>
      <c r="L208" s="1272"/>
      <c r="M208" s="1272"/>
      <c r="N208" s="1278" t="s">
        <v>370</v>
      </c>
      <c r="O208" s="1278"/>
      <c r="P208" s="1278"/>
      <c r="Q208" s="1346">
        <f>SUM(Q207:Q207)</f>
        <v>46.374000000000002</v>
      </c>
    </row>
    <row r="209" spans="3:17" s="618" customFormat="1" ht="15" customHeight="1" x14ac:dyDescent="0.25">
      <c r="C209" s="1233"/>
      <c r="D209" s="1271"/>
      <c r="E209" s="1276"/>
      <c r="F209" s="1279"/>
      <c r="G209" s="1279"/>
      <c r="H209" s="1279"/>
      <c r="I209" s="1279"/>
      <c r="J209" s="1279"/>
      <c r="K209" s="1279"/>
      <c r="L209" s="1279"/>
      <c r="M209" s="1279"/>
      <c r="N209" s="1280" t="s">
        <v>371</v>
      </c>
      <c r="O209" s="1280"/>
      <c r="P209" s="1281">
        <v>0</v>
      </c>
      <c r="Q209" s="1346">
        <f>P209*Q208</f>
        <v>0</v>
      </c>
    </row>
    <row r="210" spans="3:17" s="618" customFormat="1" ht="15" customHeight="1" x14ac:dyDescent="0.25">
      <c r="C210" s="1233"/>
      <c r="D210" s="1271"/>
      <c r="E210" s="1276"/>
      <c r="F210" s="1272"/>
      <c r="G210" s="1272"/>
      <c r="H210" s="1272"/>
      <c r="I210" s="1272"/>
      <c r="J210" s="1272"/>
      <c r="K210" s="1272"/>
      <c r="L210" s="1272"/>
      <c r="M210" s="1272"/>
      <c r="N210" s="1282"/>
      <c r="O210" s="1280" t="s">
        <v>372</v>
      </c>
      <c r="P210" s="1280"/>
      <c r="Q210" s="1346">
        <f>Q208+Q209+Q205</f>
        <v>262.82650000000001</v>
      </c>
    </row>
    <row r="211" spans="3:17" s="618" customFormat="1" ht="15" customHeight="1" x14ac:dyDescent="0.25">
      <c r="C211" s="1233"/>
      <c r="D211" s="1271"/>
      <c r="E211" s="1276"/>
      <c r="F211" s="1272"/>
      <c r="G211" s="1272"/>
      <c r="H211" s="1272"/>
      <c r="I211" s="1272"/>
      <c r="J211" s="1272"/>
      <c r="K211" s="1272"/>
      <c r="L211" s="1272"/>
      <c r="M211" s="1272"/>
      <c r="N211" s="1282"/>
      <c r="O211" s="1280" t="s">
        <v>373</v>
      </c>
      <c r="P211" s="1280"/>
      <c r="Q211" s="1345">
        <f>Q210/1.55625</f>
        <v>168.88449799196789</v>
      </c>
    </row>
    <row r="212" spans="3:17" s="618" customFormat="1" ht="15" customHeight="1" x14ac:dyDescent="0.25">
      <c r="C212" s="1233"/>
      <c r="D212" s="1271"/>
      <c r="E212" s="1276"/>
      <c r="F212" s="1272"/>
      <c r="G212" s="1272"/>
      <c r="H212" s="1272"/>
      <c r="I212" s="1272"/>
      <c r="J212" s="1272"/>
      <c r="K212" s="1272"/>
      <c r="L212" s="1272"/>
      <c r="M212" s="1272"/>
      <c r="N212" s="1282"/>
      <c r="O212" s="1280" t="s">
        <v>711</v>
      </c>
      <c r="P212" s="1280"/>
      <c r="Q212" s="1345">
        <v>0</v>
      </c>
    </row>
    <row r="213" spans="3:17" s="618" customFormat="1" ht="15" customHeight="1" x14ac:dyDescent="0.25">
      <c r="C213" s="1233"/>
      <c r="D213" s="1271"/>
      <c r="E213" s="1276"/>
      <c r="F213" s="1272"/>
      <c r="G213" s="1272"/>
      <c r="H213" s="1272"/>
      <c r="I213" s="1272"/>
      <c r="J213" s="1272"/>
      <c r="K213" s="1272"/>
      <c r="L213" s="1272"/>
      <c r="M213" s="1272"/>
      <c r="N213" s="1282"/>
      <c r="O213" s="1283" t="s">
        <v>930</v>
      </c>
      <c r="P213" s="1283"/>
      <c r="Q213" s="1345">
        <f>Q211+Q212</f>
        <v>168.88449799196789</v>
      </c>
    </row>
    <row r="214" spans="3:17" s="618" customFormat="1" ht="15" customHeight="1" x14ac:dyDescent="0.25">
      <c r="C214" s="1233"/>
      <c r="D214" s="1271"/>
      <c r="E214" s="562" t="s">
        <v>631</v>
      </c>
      <c r="F214" s="1272"/>
      <c r="G214" s="1272"/>
      <c r="H214" s="1272"/>
      <c r="I214" s="1272"/>
      <c r="J214" s="1272"/>
      <c r="K214" s="1272"/>
      <c r="L214" s="1272"/>
      <c r="M214" s="1272"/>
      <c r="N214" s="1272"/>
      <c r="O214" s="1272"/>
      <c r="P214" s="1273"/>
      <c r="Q214" s="1346"/>
    </row>
    <row r="215" spans="3:17" s="618" customFormat="1" ht="15" customHeight="1" x14ac:dyDescent="0.25">
      <c r="C215" s="1233"/>
      <c r="D215" s="563" t="s">
        <v>939</v>
      </c>
      <c r="E215" s="568" t="s">
        <v>938</v>
      </c>
      <c r="F215" s="1279"/>
      <c r="G215" s="1279"/>
      <c r="H215" s="1279"/>
      <c r="I215" s="1279"/>
      <c r="J215" s="1279"/>
      <c r="K215" s="1279"/>
      <c r="L215" s="1279"/>
      <c r="M215" s="1279"/>
      <c r="N215" s="1282" t="s">
        <v>12</v>
      </c>
      <c r="O215" s="1355">
        <v>2</v>
      </c>
      <c r="P215" s="1343">
        <v>403.06079999999997</v>
      </c>
      <c r="Q215" s="1346">
        <f t="shared" ref="Q215" si="23">O215*P215</f>
        <v>806.12159999999994</v>
      </c>
    </row>
    <row r="216" spans="3:17" s="618" customFormat="1" ht="15" customHeight="1" x14ac:dyDescent="0.25">
      <c r="C216" s="1233"/>
      <c r="D216" s="1271"/>
      <c r="E216" s="1276"/>
      <c r="F216" s="1285"/>
      <c r="G216" s="1285"/>
      <c r="H216" s="1285"/>
      <c r="I216" s="1285"/>
      <c r="J216" s="1285"/>
      <c r="K216" s="1285"/>
      <c r="L216" s="1285"/>
      <c r="M216" s="1285"/>
      <c r="N216" s="1282"/>
      <c r="O216" s="1284"/>
      <c r="P216" s="1272"/>
      <c r="Q216" s="1274"/>
    </row>
    <row r="217" spans="3:17" s="618" customFormat="1" ht="15" customHeight="1" x14ac:dyDescent="0.25">
      <c r="C217" s="1233"/>
      <c r="D217" s="1271"/>
      <c r="E217" s="1276"/>
      <c r="F217" s="1272"/>
      <c r="G217" s="1272"/>
      <c r="H217" s="1272"/>
      <c r="I217" s="1272"/>
      <c r="J217" s="1272"/>
      <c r="K217" s="1272"/>
      <c r="L217" s="1272"/>
      <c r="M217" s="1272"/>
      <c r="N217" s="1278" t="s">
        <v>933</v>
      </c>
      <c r="O217" s="1278"/>
      <c r="P217" s="1278"/>
      <c r="Q217" s="1346">
        <f>SUM(Q215:Q216)</f>
        <v>806.12159999999994</v>
      </c>
    </row>
    <row r="218" spans="3:17" s="618" customFormat="1" ht="15" customHeight="1" x14ac:dyDescent="0.25">
      <c r="C218" s="1233"/>
      <c r="D218" s="1271"/>
      <c r="E218" s="1276"/>
      <c r="F218" s="1272"/>
      <c r="G218" s="1272"/>
      <c r="H218" s="1272"/>
      <c r="I218" s="1272"/>
      <c r="J218" s="1272"/>
      <c r="K218" s="1272"/>
      <c r="L218" s="1272"/>
      <c r="M218" s="1272"/>
      <c r="N218" s="1282"/>
      <c r="O218" s="1286"/>
      <c r="P218" s="1286"/>
      <c r="Q218" s="1275"/>
    </row>
    <row r="219" spans="3:17" s="618" customFormat="1" ht="15" customHeight="1" x14ac:dyDescent="0.25">
      <c r="C219" s="1233"/>
      <c r="D219" s="1271"/>
      <c r="E219" s="562" t="s">
        <v>378</v>
      </c>
      <c r="F219" s="1272"/>
      <c r="G219" s="1272"/>
      <c r="H219" s="1272"/>
      <c r="I219" s="1272"/>
      <c r="J219" s="1272"/>
      <c r="K219" s="1272"/>
      <c r="L219" s="1272"/>
      <c r="M219" s="1272"/>
      <c r="N219" s="1272"/>
      <c r="O219" s="1272"/>
      <c r="P219" s="1273"/>
      <c r="Q219" s="1274"/>
    </row>
    <row r="220" spans="3:17" s="618" customFormat="1" ht="15" customHeight="1" x14ac:dyDescent="0.25">
      <c r="C220" s="1233"/>
      <c r="D220" s="563">
        <v>1109671</v>
      </c>
      <c r="E220" s="568" t="s">
        <v>934</v>
      </c>
      <c r="F220" s="1287"/>
      <c r="G220" s="1287"/>
      <c r="H220" s="1287"/>
      <c r="I220" s="1287"/>
      <c r="J220" s="1287"/>
      <c r="K220" s="1287"/>
      <c r="L220" s="1287"/>
      <c r="M220" s="1287"/>
      <c r="N220" s="1287" t="s">
        <v>11</v>
      </c>
      <c r="O220" s="1354">
        <v>1.469E-2</v>
      </c>
      <c r="P220" s="1348">
        <v>330.12</v>
      </c>
      <c r="Q220" s="1349">
        <f t="shared" ref="Q220:Q222" si="24">O220*P220</f>
        <v>4.8494628000000004</v>
      </c>
    </row>
    <row r="221" spans="3:17" s="618" customFormat="1" ht="15" customHeight="1" x14ac:dyDescent="0.25">
      <c r="C221" s="1233"/>
      <c r="D221" s="563">
        <v>1106165</v>
      </c>
      <c r="E221" s="568" t="s">
        <v>935</v>
      </c>
      <c r="F221" s="1272"/>
      <c r="G221" s="1272"/>
      <c r="H221" s="1272"/>
      <c r="I221" s="1272"/>
      <c r="J221" s="1272"/>
      <c r="K221" s="1272"/>
      <c r="L221" s="1272"/>
      <c r="M221" s="1272"/>
      <c r="N221" s="1287" t="s">
        <v>11</v>
      </c>
      <c r="O221" s="1343">
        <v>0.82399999999999995</v>
      </c>
      <c r="P221" s="1344">
        <v>262.04000000000002</v>
      </c>
      <c r="Q221" s="1346">
        <f t="shared" si="24"/>
        <v>215.92096000000001</v>
      </c>
    </row>
    <row r="222" spans="3:17" s="618" customFormat="1" ht="15" customHeight="1" x14ac:dyDescent="0.25">
      <c r="C222" s="1233"/>
      <c r="D222" s="563">
        <v>3103302</v>
      </c>
      <c r="E222" s="568" t="s">
        <v>936</v>
      </c>
      <c r="F222" s="1272"/>
      <c r="G222" s="1272"/>
      <c r="H222" s="1272"/>
      <c r="I222" s="1272"/>
      <c r="J222" s="1272"/>
      <c r="K222" s="1272"/>
      <c r="L222" s="1272"/>
      <c r="M222" s="1272"/>
      <c r="N222" s="1287" t="s">
        <v>11</v>
      </c>
      <c r="O222" s="1343">
        <v>0.8</v>
      </c>
      <c r="P222" s="1344">
        <v>60.18</v>
      </c>
      <c r="Q222" s="1346">
        <f t="shared" si="24"/>
        <v>48.144000000000005</v>
      </c>
    </row>
    <row r="223" spans="3:17" s="618" customFormat="1" ht="15" customHeight="1" x14ac:dyDescent="0.25">
      <c r="C223" s="1233"/>
      <c r="D223" s="1271"/>
      <c r="E223" s="1276"/>
      <c r="F223" s="1272"/>
      <c r="G223" s="1272"/>
      <c r="H223" s="1272"/>
      <c r="I223" s="1272"/>
      <c r="J223" s="1272"/>
      <c r="K223" s="1272"/>
      <c r="L223" s="1272"/>
      <c r="M223" s="1272"/>
      <c r="N223" s="1277" t="s">
        <v>937</v>
      </c>
      <c r="O223" s="1277"/>
      <c r="P223" s="1277"/>
      <c r="Q223" s="1345">
        <f>SUM(Q220:Q222)</f>
        <v>268.91442280000001</v>
      </c>
    </row>
    <row r="224" spans="3:17" s="618" customFormat="1" ht="15" customHeight="1" x14ac:dyDescent="0.25">
      <c r="C224" s="1233"/>
      <c r="D224" s="1271"/>
      <c r="E224" s="1276"/>
      <c r="F224" s="1272"/>
      <c r="G224" s="1272"/>
      <c r="H224" s="1272"/>
      <c r="I224" s="1272"/>
      <c r="J224" s="1272"/>
      <c r="K224" s="1272"/>
      <c r="L224" s="1272"/>
      <c r="M224" s="1272"/>
      <c r="N224" s="1282"/>
      <c r="O224" s="1286"/>
      <c r="P224" s="1286"/>
      <c r="Q224" s="1275"/>
    </row>
    <row r="225" spans="3:17" s="618" customFormat="1" ht="15" customHeight="1" x14ac:dyDescent="0.25">
      <c r="C225" s="1233"/>
      <c r="D225" s="1271"/>
      <c r="E225" s="1276"/>
      <c r="F225" s="1272"/>
      <c r="G225" s="1272"/>
      <c r="H225" s="1272"/>
      <c r="I225" s="1272"/>
      <c r="J225" s="1272"/>
      <c r="K225" s="1272"/>
      <c r="L225" s="1272"/>
      <c r="M225" s="1272"/>
      <c r="N225" s="1282"/>
      <c r="O225" s="1280" t="s">
        <v>384</v>
      </c>
      <c r="P225" s="1280"/>
      <c r="Q225" s="1346">
        <f>Q213+Q217+Q223</f>
        <v>1243.9205207919679</v>
      </c>
    </row>
    <row r="226" spans="3:17" s="618" customFormat="1" ht="15" customHeight="1" x14ac:dyDescent="0.25">
      <c r="C226" s="1233"/>
      <c r="D226" s="1271"/>
      <c r="E226" s="1276"/>
      <c r="F226" s="1272"/>
      <c r="G226" s="1272"/>
      <c r="H226" s="1272"/>
      <c r="I226" s="1272"/>
      <c r="J226" s="1272"/>
      <c r="K226" s="1272"/>
      <c r="L226" s="1272"/>
      <c r="M226" s="1272"/>
      <c r="N226" s="1282"/>
      <c r="O226" s="1286" t="s">
        <v>226</v>
      </c>
      <c r="P226" s="1281"/>
      <c r="Q226" s="1346">
        <f>0.26*Q225</f>
        <v>323.41933540591168</v>
      </c>
    </row>
    <row r="227" spans="3:17" s="618" customFormat="1" ht="15" customHeight="1" x14ac:dyDescent="0.25">
      <c r="C227" s="1233"/>
      <c r="D227" s="1271"/>
      <c r="E227" s="1276"/>
      <c r="F227" s="1272"/>
      <c r="G227" s="1272"/>
      <c r="H227" s="1272"/>
      <c r="I227" s="1272"/>
      <c r="J227" s="1272"/>
      <c r="K227" s="1272"/>
      <c r="L227" s="1272"/>
      <c r="M227" s="1272"/>
      <c r="N227" s="1288" t="s">
        <v>263</v>
      </c>
      <c r="O227" s="1288"/>
      <c r="P227" s="1352">
        <f>(Q225+Q226)</f>
        <v>1567.3398561978795</v>
      </c>
      <c r="Q227" s="1353"/>
    </row>
    <row r="228" spans="3:17" s="618" customFormat="1" ht="15" customHeight="1" x14ac:dyDescent="0.25">
      <c r="C228" s="1233"/>
      <c r="D228" s="1271"/>
      <c r="E228" s="1276"/>
      <c r="F228" s="1272"/>
      <c r="G228" s="1272"/>
      <c r="H228" s="1272"/>
      <c r="I228" s="1272"/>
      <c r="J228" s="1272"/>
      <c r="K228" s="1272"/>
      <c r="L228" s="1272"/>
      <c r="M228" s="1272"/>
      <c r="N228" s="1289"/>
      <c r="O228" s="1289"/>
      <c r="P228" s="1290"/>
      <c r="Q228" s="1291"/>
    </row>
    <row r="229" spans="3:17" s="618" customFormat="1" ht="15" customHeight="1" x14ac:dyDescent="0.25">
      <c r="C229" s="552" t="s">
        <v>206</v>
      </c>
      <c r="D229" s="553" t="str">
        <f>'PLANILHA ORÇAMENTÁRIA'!C60</f>
        <v>Corpo de BSTC D= 1,00m - Fornecimento e assentamneto</v>
      </c>
      <c r="E229" s="1235"/>
      <c r="F229" s="573"/>
      <c r="G229" s="1235"/>
      <c r="H229" s="592"/>
      <c r="I229" s="592"/>
      <c r="J229" s="1229"/>
      <c r="K229" s="574"/>
      <c r="L229" s="592"/>
      <c r="M229" s="1235"/>
      <c r="N229" s="1229"/>
      <c r="O229" s="1229"/>
      <c r="P229" s="1229"/>
      <c r="Q229" s="1241"/>
    </row>
    <row r="230" spans="3:17" s="618" customFormat="1" ht="15" customHeight="1" x14ac:dyDescent="0.25">
      <c r="C230" s="1233"/>
      <c r="D230" s="1271"/>
      <c r="E230" s="562" t="s">
        <v>386</v>
      </c>
      <c r="F230" s="1272"/>
      <c r="G230" s="1272"/>
      <c r="H230" s="1272"/>
      <c r="I230" s="1272"/>
      <c r="J230" s="1272"/>
      <c r="K230" s="1272"/>
      <c r="L230" s="1272"/>
      <c r="M230" s="1272"/>
      <c r="N230" s="1272"/>
      <c r="O230" s="1272"/>
      <c r="P230" s="1273"/>
      <c r="Q230" s="1274">
        <f t="shared" ref="Q230:Q231" si="25">O230*P230</f>
        <v>0</v>
      </c>
    </row>
    <row r="231" spans="3:17" s="618" customFormat="1" ht="15" customHeight="1" x14ac:dyDescent="0.25">
      <c r="C231" s="1233"/>
      <c r="D231" s="563" t="s">
        <v>928</v>
      </c>
      <c r="E231" s="568" t="s">
        <v>929</v>
      </c>
      <c r="F231" s="573"/>
      <c r="G231" s="1235"/>
      <c r="H231" s="592"/>
      <c r="I231" s="592"/>
      <c r="J231" s="1229"/>
      <c r="K231" s="574"/>
      <c r="L231" s="592"/>
      <c r="M231" s="1235"/>
      <c r="N231" s="1272"/>
      <c r="O231" s="1343">
        <v>1</v>
      </c>
      <c r="P231" s="1344">
        <v>216.45249999999999</v>
      </c>
      <c r="Q231" s="1345">
        <f t="shared" si="25"/>
        <v>216.45249999999999</v>
      </c>
    </row>
    <row r="232" spans="3:17" s="618" customFormat="1" ht="15" customHeight="1" x14ac:dyDescent="0.25">
      <c r="C232" s="1233"/>
      <c r="D232" s="1271"/>
      <c r="E232" s="1276"/>
      <c r="F232" s="1272"/>
      <c r="G232" s="1272"/>
      <c r="H232" s="1272"/>
      <c r="I232" s="1272"/>
      <c r="J232" s="1272"/>
      <c r="K232" s="1272"/>
      <c r="L232" s="1272"/>
      <c r="M232" s="1272"/>
      <c r="N232" s="1277" t="s">
        <v>364</v>
      </c>
      <c r="O232" s="1277"/>
      <c r="P232" s="1277"/>
      <c r="Q232" s="1346">
        <f>SUM(Q231:Q231)</f>
        <v>216.45249999999999</v>
      </c>
    </row>
    <row r="233" spans="3:17" s="618" customFormat="1" ht="15" customHeight="1" x14ac:dyDescent="0.25">
      <c r="C233" s="1233"/>
      <c r="D233" s="1271"/>
      <c r="E233" s="562" t="s">
        <v>395</v>
      </c>
      <c r="F233" s="1272"/>
      <c r="G233" s="1272"/>
      <c r="H233" s="1272"/>
      <c r="I233" s="1272"/>
      <c r="J233" s="1272"/>
      <c r="K233" s="1272"/>
      <c r="L233" s="1272"/>
      <c r="M233" s="1272"/>
      <c r="N233" s="1272"/>
      <c r="O233" s="1272"/>
      <c r="P233" s="1273"/>
      <c r="Q233" s="1274"/>
    </row>
    <row r="234" spans="3:17" s="618" customFormat="1" ht="15" customHeight="1" x14ac:dyDescent="0.25">
      <c r="C234" s="1233"/>
      <c r="D234" s="563" t="s">
        <v>712</v>
      </c>
      <c r="E234" s="568" t="s">
        <v>369</v>
      </c>
      <c r="F234" s="573"/>
      <c r="G234" s="1235"/>
      <c r="H234" s="592"/>
      <c r="I234" s="592"/>
      <c r="J234" s="1229"/>
      <c r="K234" s="574"/>
      <c r="L234" s="592"/>
      <c r="M234" s="1235"/>
      <c r="N234" s="1272" t="s">
        <v>48</v>
      </c>
      <c r="O234" s="1343">
        <v>3</v>
      </c>
      <c r="P234" s="1344">
        <v>15.458</v>
      </c>
      <c r="Q234" s="1345">
        <f t="shared" ref="Q234" si="26">O234*P234</f>
        <v>46.374000000000002</v>
      </c>
    </row>
    <row r="235" spans="3:17" s="618" customFormat="1" ht="15" customHeight="1" x14ac:dyDescent="0.25">
      <c r="C235" s="1233"/>
      <c r="D235" s="1271"/>
      <c r="E235" s="1276"/>
      <c r="F235" s="1272"/>
      <c r="G235" s="1272"/>
      <c r="H235" s="1272"/>
      <c r="I235" s="1272"/>
      <c r="J235" s="1272"/>
      <c r="K235" s="1272"/>
      <c r="L235" s="1272"/>
      <c r="M235" s="1272"/>
      <c r="N235" s="1278" t="s">
        <v>370</v>
      </c>
      <c r="O235" s="1278"/>
      <c r="P235" s="1278"/>
      <c r="Q235" s="1346">
        <f>SUM(Q234:Q234)</f>
        <v>46.374000000000002</v>
      </c>
    </row>
    <row r="236" spans="3:17" s="618" customFormat="1" ht="15" customHeight="1" x14ac:dyDescent="0.25">
      <c r="C236" s="1233"/>
      <c r="D236" s="1271"/>
      <c r="E236" s="1276"/>
      <c r="F236" s="1279"/>
      <c r="G236" s="1279"/>
      <c r="H236" s="1279"/>
      <c r="I236" s="1279"/>
      <c r="J236" s="1279"/>
      <c r="K236" s="1279"/>
      <c r="L236" s="1279"/>
      <c r="M236" s="1279"/>
      <c r="N236" s="1280" t="s">
        <v>371</v>
      </c>
      <c r="O236" s="1280"/>
      <c r="P236" s="1281">
        <v>0</v>
      </c>
      <c r="Q236" s="1346">
        <f>P236*Q235</f>
        <v>0</v>
      </c>
    </row>
    <row r="237" spans="3:17" s="618" customFormat="1" ht="15" customHeight="1" x14ac:dyDescent="0.25">
      <c r="C237" s="1233"/>
      <c r="D237" s="1271"/>
      <c r="E237" s="1276"/>
      <c r="F237" s="1272"/>
      <c r="G237" s="1272"/>
      <c r="H237" s="1272"/>
      <c r="I237" s="1272"/>
      <c r="J237" s="1272"/>
      <c r="K237" s="1272"/>
      <c r="L237" s="1272"/>
      <c r="M237" s="1272"/>
      <c r="N237" s="1282"/>
      <c r="O237" s="1280" t="s">
        <v>372</v>
      </c>
      <c r="P237" s="1280"/>
      <c r="Q237" s="1346">
        <f>Q235+Q236+Q232</f>
        <v>262.82650000000001</v>
      </c>
    </row>
    <row r="238" spans="3:17" s="618" customFormat="1" ht="15" customHeight="1" x14ac:dyDescent="0.25">
      <c r="C238" s="1233"/>
      <c r="D238" s="1271"/>
      <c r="E238" s="1276"/>
      <c r="F238" s="1272"/>
      <c r="G238" s="1272"/>
      <c r="H238" s="1272"/>
      <c r="I238" s="1272"/>
      <c r="J238" s="1272"/>
      <c r="K238" s="1272"/>
      <c r="L238" s="1272"/>
      <c r="M238" s="1272"/>
      <c r="N238" s="1282"/>
      <c r="O238" s="1280" t="s">
        <v>373</v>
      </c>
      <c r="P238" s="1280"/>
      <c r="Q238" s="1345">
        <f>Q237/3.1125</f>
        <v>84.442248995983945</v>
      </c>
    </row>
    <row r="239" spans="3:17" s="618" customFormat="1" ht="15" customHeight="1" x14ac:dyDescent="0.25">
      <c r="C239" s="1233"/>
      <c r="D239" s="1271"/>
      <c r="E239" s="1276"/>
      <c r="F239" s="1272"/>
      <c r="G239" s="1272"/>
      <c r="H239" s="1272"/>
      <c r="I239" s="1272"/>
      <c r="J239" s="1272"/>
      <c r="K239" s="1272"/>
      <c r="L239" s="1272"/>
      <c r="M239" s="1272"/>
      <c r="N239" s="1282"/>
      <c r="O239" s="1280" t="s">
        <v>711</v>
      </c>
      <c r="P239" s="1280"/>
      <c r="Q239" s="1345">
        <v>0</v>
      </c>
    </row>
    <row r="240" spans="3:17" s="618" customFormat="1" ht="15" customHeight="1" x14ac:dyDescent="0.25">
      <c r="C240" s="1233"/>
      <c r="D240" s="1271"/>
      <c r="E240" s="1276"/>
      <c r="F240" s="1272"/>
      <c r="G240" s="1272"/>
      <c r="H240" s="1272"/>
      <c r="I240" s="1272"/>
      <c r="J240" s="1272"/>
      <c r="K240" s="1272"/>
      <c r="L240" s="1272"/>
      <c r="M240" s="1272"/>
      <c r="N240" s="1282"/>
      <c r="O240" s="1283" t="s">
        <v>930</v>
      </c>
      <c r="P240" s="1283"/>
      <c r="Q240" s="1345">
        <f>Q238+Q239</f>
        <v>84.442248995983945</v>
      </c>
    </row>
    <row r="241" spans="3:17" s="618" customFormat="1" ht="15" customHeight="1" x14ac:dyDescent="0.25">
      <c r="C241" s="1233"/>
      <c r="D241" s="1271"/>
      <c r="E241" s="562" t="s">
        <v>631</v>
      </c>
      <c r="F241" s="1272"/>
      <c r="G241" s="1272"/>
      <c r="H241" s="1272"/>
      <c r="I241" s="1272"/>
      <c r="J241" s="1272"/>
      <c r="K241" s="1272"/>
      <c r="L241" s="1272"/>
      <c r="M241" s="1272"/>
      <c r="N241" s="1272"/>
      <c r="O241" s="1272"/>
      <c r="P241" s="1273"/>
      <c r="Q241" s="1274"/>
    </row>
    <row r="242" spans="3:17" s="618" customFormat="1" ht="15" customHeight="1" x14ac:dyDescent="0.25">
      <c r="C242" s="1233"/>
      <c r="D242" s="563" t="s">
        <v>939</v>
      </c>
      <c r="E242" s="568" t="s">
        <v>938</v>
      </c>
      <c r="F242" s="1279"/>
      <c r="G242" s="1279"/>
      <c r="H242" s="1279"/>
      <c r="I242" s="1279"/>
      <c r="J242" s="1279"/>
      <c r="K242" s="1279"/>
      <c r="L242" s="1279"/>
      <c r="M242" s="1279"/>
      <c r="N242" s="1282" t="s">
        <v>12</v>
      </c>
      <c r="O242" s="1355">
        <v>1</v>
      </c>
      <c r="P242" s="1343">
        <v>403.06079999999997</v>
      </c>
      <c r="Q242" s="1346">
        <f t="shared" ref="Q242" si="27">O242*P242</f>
        <v>403.06079999999997</v>
      </c>
    </row>
    <row r="243" spans="3:17" s="618" customFormat="1" ht="15" customHeight="1" x14ac:dyDescent="0.25">
      <c r="C243" s="1233"/>
      <c r="D243" s="1271"/>
      <c r="E243" s="1276"/>
      <c r="F243" s="1285"/>
      <c r="G243" s="1285"/>
      <c r="H243" s="1285"/>
      <c r="I243" s="1285"/>
      <c r="J243" s="1285"/>
      <c r="K243" s="1285"/>
      <c r="L243" s="1285"/>
      <c r="M243" s="1285"/>
      <c r="N243" s="1282"/>
      <c r="O243" s="1284"/>
      <c r="P243" s="1272"/>
      <c r="Q243" s="1274"/>
    </row>
    <row r="244" spans="3:17" s="618" customFormat="1" ht="15" customHeight="1" x14ac:dyDescent="0.25">
      <c r="C244" s="1233"/>
      <c r="D244" s="1271"/>
      <c r="E244" s="1276"/>
      <c r="F244" s="1272"/>
      <c r="G244" s="1272"/>
      <c r="H244" s="1272"/>
      <c r="I244" s="1272"/>
      <c r="J244" s="1272"/>
      <c r="K244" s="1272"/>
      <c r="L244" s="1272"/>
      <c r="M244" s="1272"/>
      <c r="N244" s="1278" t="s">
        <v>933</v>
      </c>
      <c r="O244" s="1278"/>
      <c r="P244" s="1278"/>
      <c r="Q244" s="1346">
        <f>SUM(Q242:Q243)</f>
        <v>403.06079999999997</v>
      </c>
    </row>
    <row r="245" spans="3:17" s="618" customFormat="1" ht="15" customHeight="1" x14ac:dyDescent="0.25">
      <c r="C245" s="1233"/>
      <c r="D245" s="1271"/>
      <c r="E245" s="1276"/>
      <c r="F245" s="1272"/>
      <c r="G245" s="1272"/>
      <c r="H245" s="1272"/>
      <c r="I245" s="1272"/>
      <c r="J245" s="1272"/>
      <c r="K245" s="1272"/>
      <c r="L245" s="1272"/>
      <c r="M245" s="1272"/>
      <c r="N245" s="1282"/>
      <c r="O245" s="1286"/>
      <c r="P245" s="1286"/>
      <c r="Q245" s="1275"/>
    </row>
    <row r="246" spans="3:17" s="618" customFormat="1" ht="15" customHeight="1" x14ac:dyDescent="0.25">
      <c r="C246" s="1233"/>
      <c r="D246" s="1271"/>
      <c r="E246" s="562" t="s">
        <v>378</v>
      </c>
      <c r="F246" s="1272"/>
      <c r="G246" s="1272"/>
      <c r="H246" s="1272"/>
      <c r="I246" s="1272"/>
      <c r="J246" s="1272"/>
      <c r="K246" s="1272"/>
      <c r="L246" s="1272"/>
      <c r="M246" s="1272"/>
      <c r="N246" s="1272"/>
      <c r="O246" s="1272"/>
      <c r="P246" s="1273"/>
      <c r="Q246" s="1274"/>
    </row>
    <row r="247" spans="3:17" s="618" customFormat="1" ht="15" customHeight="1" x14ac:dyDescent="0.25">
      <c r="C247" s="1233"/>
      <c r="D247" s="563">
        <v>1109671</v>
      </c>
      <c r="E247" s="568" t="s">
        <v>934</v>
      </c>
      <c r="F247" s="1287"/>
      <c r="G247" s="1287"/>
      <c r="H247" s="1287"/>
      <c r="I247" s="1287"/>
      <c r="J247" s="1287"/>
      <c r="K247" s="1287"/>
      <c r="L247" s="1287"/>
      <c r="M247" s="1287"/>
      <c r="N247" s="1287" t="s">
        <v>11</v>
      </c>
      <c r="O247" s="1354">
        <v>7.3499999999999998E-3</v>
      </c>
      <c r="P247" s="1348">
        <v>330.12</v>
      </c>
      <c r="Q247" s="1349">
        <f t="shared" ref="Q247:Q249" si="28">O247*P247</f>
        <v>2.4263819999999998</v>
      </c>
    </row>
    <row r="248" spans="3:17" s="618" customFormat="1" ht="15" customHeight="1" x14ac:dyDescent="0.25">
      <c r="C248" s="1233"/>
      <c r="D248" s="563">
        <v>1106165</v>
      </c>
      <c r="E248" s="568" t="s">
        <v>935</v>
      </c>
      <c r="F248" s="1272"/>
      <c r="G248" s="1272"/>
      <c r="H248" s="1272"/>
      <c r="I248" s="1272"/>
      <c r="J248" s="1272"/>
      <c r="K248" s="1272"/>
      <c r="L248" s="1272"/>
      <c r="M248" s="1272"/>
      <c r="N248" s="1287" t="s">
        <v>11</v>
      </c>
      <c r="O248" s="1343">
        <v>0.40200000000000002</v>
      </c>
      <c r="P248" s="1344">
        <v>262.04000000000002</v>
      </c>
      <c r="Q248" s="1346">
        <f t="shared" si="28"/>
        <v>105.34008000000001</v>
      </c>
    </row>
    <row r="249" spans="3:17" s="618" customFormat="1" ht="15" customHeight="1" x14ac:dyDescent="0.25">
      <c r="C249" s="1233"/>
      <c r="D249" s="563">
        <v>3103302</v>
      </c>
      <c r="E249" s="568" t="s">
        <v>936</v>
      </c>
      <c r="F249" s="1272"/>
      <c r="G249" s="1272"/>
      <c r="H249" s="1272"/>
      <c r="I249" s="1272"/>
      <c r="J249" s="1272"/>
      <c r="K249" s="1272"/>
      <c r="L249" s="1272"/>
      <c r="M249" s="1272"/>
      <c r="N249" s="1287" t="s">
        <v>11</v>
      </c>
      <c r="O249" s="1343">
        <v>0.8</v>
      </c>
      <c r="P249" s="1344">
        <v>60.18</v>
      </c>
      <c r="Q249" s="1346">
        <f t="shared" si="28"/>
        <v>48.144000000000005</v>
      </c>
    </row>
    <row r="250" spans="3:17" s="618" customFormat="1" ht="15" customHeight="1" x14ac:dyDescent="0.25">
      <c r="C250" s="1233"/>
      <c r="D250" s="1271"/>
      <c r="E250" s="1276"/>
      <c r="F250" s="1272"/>
      <c r="G250" s="1272"/>
      <c r="H250" s="1272"/>
      <c r="I250" s="1272"/>
      <c r="J250" s="1272"/>
      <c r="K250" s="1272"/>
      <c r="L250" s="1272"/>
      <c r="M250" s="1272"/>
      <c r="N250" s="1277" t="s">
        <v>937</v>
      </c>
      <c r="O250" s="1277"/>
      <c r="P250" s="1277"/>
      <c r="Q250" s="1345">
        <f>SUM(Q247:Q249)</f>
        <v>155.91046200000002</v>
      </c>
    </row>
    <row r="251" spans="3:17" s="618" customFormat="1" ht="15" customHeight="1" x14ac:dyDescent="0.25">
      <c r="C251" s="1233"/>
      <c r="D251" s="1271"/>
      <c r="E251" s="1276"/>
      <c r="F251" s="1272"/>
      <c r="G251" s="1272"/>
      <c r="H251" s="1272"/>
      <c r="I251" s="1272"/>
      <c r="J251" s="1272"/>
      <c r="K251" s="1272"/>
      <c r="L251" s="1272"/>
      <c r="M251" s="1272"/>
      <c r="N251" s="1282"/>
      <c r="O251" s="1286"/>
      <c r="P251" s="1286"/>
      <c r="Q251" s="1275"/>
    </row>
    <row r="252" spans="3:17" s="618" customFormat="1" ht="15" customHeight="1" x14ac:dyDescent="0.25">
      <c r="C252" s="1233"/>
      <c r="D252" s="1271"/>
      <c r="E252" s="1276"/>
      <c r="F252" s="1272"/>
      <c r="G252" s="1272"/>
      <c r="H252" s="1272"/>
      <c r="I252" s="1272"/>
      <c r="J252" s="1272"/>
      <c r="K252" s="1272"/>
      <c r="L252" s="1272"/>
      <c r="M252" s="1272"/>
      <c r="N252" s="1282"/>
      <c r="O252" s="1280" t="s">
        <v>384</v>
      </c>
      <c r="P252" s="1280"/>
      <c r="Q252" s="1346">
        <f>Q240+Q244+Q250</f>
        <v>643.41351099598398</v>
      </c>
    </row>
    <row r="253" spans="3:17" s="618" customFormat="1" ht="15" customHeight="1" x14ac:dyDescent="0.25">
      <c r="C253" s="1233"/>
      <c r="D253" s="1271"/>
      <c r="E253" s="1276"/>
      <c r="F253" s="1272"/>
      <c r="G253" s="1272"/>
      <c r="H253" s="1272"/>
      <c r="I253" s="1272"/>
      <c r="J253" s="1272"/>
      <c r="K253" s="1272"/>
      <c r="L253" s="1272"/>
      <c r="M253" s="1272"/>
      <c r="N253" s="1282"/>
      <c r="O253" s="1286" t="s">
        <v>226</v>
      </c>
      <c r="P253" s="1281"/>
      <c r="Q253" s="1346">
        <f>0.26*Q252</f>
        <v>167.28751285895584</v>
      </c>
    </row>
    <row r="254" spans="3:17" s="618" customFormat="1" ht="15" customHeight="1" x14ac:dyDescent="0.25">
      <c r="C254" s="1233"/>
      <c r="D254" s="1271"/>
      <c r="E254" s="1276"/>
      <c r="F254" s="1272"/>
      <c r="G254" s="1272"/>
      <c r="H254" s="1272"/>
      <c r="I254" s="1272"/>
      <c r="J254" s="1272"/>
      <c r="K254" s="1272"/>
      <c r="L254" s="1272"/>
      <c r="M254" s="1272"/>
      <c r="N254" s="1288" t="s">
        <v>263</v>
      </c>
      <c r="O254" s="1288"/>
      <c r="P254" s="1352">
        <f>(Q252+Q253)</f>
        <v>810.70102385493988</v>
      </c>
      <c r="Q254" s="1353"/>
    </row>
    <row r="255" spans="3:17" s="618" customFormat="1" ht="15" customHeight="1" x14ac:dyDescent="0.25">
      <c r="C255" s="1233"/>
      <c r="D255" s="1271"/>
      <c r="E255" s="1276"/>
      <c r="F255" s="1272"/>
      <c r="G255" s="1272"/>
      <c r="H255" s="1272"/>
      <c r="I255" s="1272"/>
      <c r="J255" s="1272"/>
      <c r="K255" s="1272"/>
      <c r="L255" s="1272"/>
      <c r="M255" s="1272"/>
      <c r="N255" s="1289"/>
      <c r="O255" s="1289"/>
      <c r="P255" s="1356"/>
      <c r="Q255" s="1357"/>
    </row>
    <row r="256" spans="3:17" s="618" customFormat="1" ht="15" customHeight="1" x14ac:dyDescent="0.25">
      <c r="C256" s="552" t="s">
        <v>207</v>
      </c>
      <c r="D256" s="553" t="str">
        <f>'PLANILHA ORÇAMENTÁRIA'!C61</f>
        <v>Corpo de BDTC D= 0,80m - Fornecimento e assentamento</v>
      </c>
      <c r="E256" s="1235"/>
      <c r="F256" s="573"/>
      <c r="G256" s="1235"/>
      <c r="H256" s="592"/>
      <c r="I256" s="592"/>
      <c r="J256" s="1229"/>
      <c r="K256" s="574"/>
      <c r="L256" s="592"/>
      <c r="M256" s="1235"/>
      <c r="N256" s="1229"/>
      <c r="O256" s="1229"/>
      <c r="P256" s="1358"/>
      <c r="Q256" s="1359"/>
    </row>
    <row r="257" spans="3:17" s="618" customFormat="1" ht="15" customHeight="1" x14ac:dyDescent="0.25">
      <c r="C257" s="1233"/>
      <c r="D257" s="1271"/>
      <c r="E257" s="562" t="s">
        <v>386</v>
      </c>
      <c r="F257" s="1272"/>
      <c r="G257" s="1272"/>
      <c r="H257" s="1272"/>
      <c r="I257" s="1272"/>
      <c r="J257" s="1272"/>
      <c r="K257" s="1272"/>
      <c r="L257" s="1272"/>
      <c r="M257" s="1272"/>
      <c r="N257" s="1272"/>
      <c r="O257" s="1272"/>
      <c r="P257" s="1344"/>
      <c r="Q257" s="1346">
        <f t="shared" ref="Q257:Q258" si="29">O257*P257</f>
        <v>0</v>
      </c>
    </row>
    <row r="258" spans="3:17" s="618" customFormat="1" ht="15" customHeight="1" x14ac:dyDescent="0.25">
      <c r="C258" s="1233"/>
      <c r="D258" s="563" t="s">
        <v>928</v>
      </c>
      <c r="E258" s="568" t="s">
        <v>929</v>
      </c>
      <c r="F258" s="573"/>
      <c r="G258" s="1235"/>
      <c r="H258" s="592"/>
      <c r="I258" s="592"/>
      <c r="J258" s="1229"/>
      <c r="K258" s="574"/>
      <c r="L258" s="592"/>
      <c r="M258" s="1235"/>
      <c r="N258" s="1272"/>
      <c r="O258" s="1272">
        <v>1</v>
      </c>
      <c r="P258" s="1344">
        <v>216.45249999999999</v>
      </c>
      <c r="Q258" s="1345">
        <f t="shared" si="29"/>
        <v>216.45249999999999</v>
      </c>
    </row>
    <row r="259" spans="3:17" s="618" customFormat="1" ht="15" customHeight="1" x14ac:dyDescent="0.25">
      <c r="C259" s="1233"/>
      <c r="D259" s="1271"/>
      <c r="E259" s="1276"/>
      <c r="F259" s="1272"/>
      <c r="G259" s="1272"/>
      <c r="H259" s="1272"/>
      <c r="I259" s="1272"/>
      <c r="J259" s="1272"/>
      <c r="K259" s="1272"/>
      <c r="L259" s="1272"/>
      <c r="M259" s="1272"/>
      <c r="N259" s="1277" t="s">
        <v>364</v>
      </c>
      <c r="O259" s="1277"/>
      <c r="P259" s="1277"/>
      <c r="Q259" s="1346">
        <f>SUM(Q258:Q258)</f>
        <v>216.45249999999999</v>
      </c>
    </row>
    <row r="260" spans="3:17" s="618" customFormat="1" ht="15" customHeight="1" x14ac:dyDescent="0.25">
      <c r="C260" s="1233"/>
      <c r="D260" s="1271"/>
      <c r="E260" s="562" t="s">
        <v>395</v>
      </c>
      <c r="F260" s="1272"/>
      <c r="G260" s="1272"/>
      <c r="H260" s="1272"/>
      <c r="I260" s="1272"/>
      <c r="J260" s="1272"/>
      <c r="K260" s="1272"/>
      <c r="L260" s="1272"/>
      <c r="M260" s="1272"/>
      <c r="N260" s="1272"/>
      <c r="O260" s="1272"/>
      <c r="P260" s="1273"/>
      <c r="Q260" s="1274"/>
    </row>
    <row r="261" spans="3:17" s="618" customFormat="1" ht="15" customHeight="1" x14ac:dyDescent="0.25">
      <c r="C261" s="1233"/>
      <c r="D261" s="563" t="s">
        <v>712</v>
      </c>
      <c r="E261" s="568" t="s">
        <v>369</v>
      </c>
      <c r="F261" s="573"/>
      <c r="G261" s="1235"/>
      <c r="H261" s="592"/>
      <c r="I261" s="592"/>
      <c r="J261" s="1229"/>
      <c r="K261" s="574"/>
      <c r="L261" s="592"/>
      <c r="M261" s="1235"/>
      <c r="N261" s="1272" t="s">
        <v>48</v>
      </c>
      <c r="O261" s="1343">
        <v>3</v>
      </c>
      <c r="P261" s="1344">
        <v>15.458</v>
      </c>
      <c r="Q261" s="1345">
        <f t="shared" ref="Q261" si="30">O261*P261</f>
        <v>46.374000000000002</v>
      </c>
    </row>
    <row r="262" spans="3:17" s="618" customFormat="1" ht="15" customHeight="1" x14ac:dyDescent="0.25">
      <c r="C262" s="1233"/>
      <c r="D262" s="1271"/>
      <c r="E262" s="1276"/>
      <c r="F262" s="1272"/>
      <c r="G262" s="1272"/>
      <c r="H262" s="1272"/>
      <c r="I262" s="1272"/>
      <c r="J262" s="1272"/>
      <c r="K262" s="1272"/>
      <c r="L262" s="1272"/>
      <c r="M262" s="1272"/>
      <c r="N262" s="1278" t="s">
        <v>370</v>
      </c>
      <c r="O262" s="1278"/>
      <c r="P262" s="1278"/>
      <c r="Q262" s="1346">
        <f>SUM(Q261:Q261)</f>
        <v>46.374000000000002</v>
      </c>
    </row>
    <row r="263" spans="3:17" s="618" customFormat="1" ht="15" customHeight="1" x14ac:dyDescent="0.25">
      <c r="C263" s="1233"/>
      <c r="D263" s="1271"/>
      <c r="E263" s="1276"/>
      <c r="F263" s="1279"/>
      <c r="G263" s="1279"/>
      <c r="H263" s="1279"/>
      <c r="I263" s="1279"/>
      <c r="J263" s="1279"/>
      <c r="K263" s="1279"/>
      <c r="L263" s="1279"/>
      <c r="M263" s="1279"/>
      <c r="N263" s="1280" t="s">
        <v>371</v>
      </c>
      <c r="O263" s="1280"/>
      <c r="P263" s="1281">
        <v>0</v>
      </c>
      <c r="Q263" s="1346">
        <f>P263*Q262</f>
        <v>0</v>
      </c>
    </row>
    <row r="264" spans="3:17" s="618" customFormat="1" ht="15" customHeight="1" x14ac:dyDescent="0.25">
      <c r="C264" s="1233"/>
      <c r="D264" s="1271"/>
      <c r="E264" s="1276"/>
      <c r="F264" s="1272"/>
      <c r="G264" s="1272"/>
      <c r="H264" s="1272"/>
      <c r="I264" s="1272"/>
      <c r="J264" s="1272"/>
      <c r="K264" s="1272"/>
      <c r="L264" s="1272"/>
      <c r="M264" s="1272"/>
      <c r="N264" s="1282"/>
      <c r="O264" s="1280" t="s">
        <v>372</v>
      </c>
      <c r="P264" s="1280"/>
      <c r="Q264" s="1346">
        <f>Q262+Q263+Q259</f>
        <v>262.82650000000001</v>
      </c>
    </row>
    <row r="265" spans="3:17" s="618" customFormat="1" ht="15" customHeight="1" x14ac:dyDescent="0.25">
      <c r="C265" s="1233"/>
      <c r="D265" s="1271"/>
      <c r="E265" s="1276"/>
      <c r="F265" s="1272"/>
      <c r="G265" s="1272"/>
      <c r="H265" s="1272"/>
      <c r="I265" s="1272"/>
      <c r="J265" s="1272"/>
      <c r="K265" s="1272"/>
      <c r="L265" s="1272"/>
      <c r="M265" s="1272"/>
      <c r="N265" s="1282"/>
      <c r="O265" s="1280" t="s">
        <v>373</v>
      </c>
      <c r="P265" s="1280"/>
      <c r="Q265" s="1345">
        <f>Q264/2.075</f>
        <v>126.6633734939759</v>
      </c>
    </row>
    <row r="266" spans="3:17" s="618" customFormat="1" ht="15" customHeight="1" x14ac:dyDescent="0.25">
      <c r="C266" s="1233"/>
      <c r="D266" s="1271"/>
      <c r="E266" s="1276"/>
      <c r="F266" s="1272"/>
      <c r="G266" s="1272"/>
      <c r="H266" s="1272"/>
      <c r="I266" s="1272"/>
      <c r="J266" s="1272"/>
      <c r="K266" s="1272"/>
      <c r="L266" s="1272"/>
      <c r="M266" s="1272"/>
      <c r="N266" s="1282"/>
      <c r="O266" s="1280" t="s">
        <v>711</v>
      </c>
      <c r="P266" s="1280"/>
      <c r="Q266" s="1345">
        <v>0</v>
      </c>
    </row>
    <row r="267" spans="3:17" s="618" customFormat="1" ht="15" customHeight="1" x14ac:dyDescent="0.25">
      <c r="C267" s="1233"/>
      <c r="D267" s="1271"/>
      <c r="E267" s="1276"/>
      <c r="F267" s="1272"/>
      <c r="G267" s="1272"/>
      <c r="H267" s="1272"/>
      <c r="I267" s="1272"/>
      <c r="J267" s="1272"/>
      <c r="K267" s="1272"/>
      <c r="L267" s="1272"/>
      <c r="M267" s="1272"/>
      <c r="N267" s="1282"/>
      <c r="O267" s="1283" t="s">
        <v>930</v>
      </c>
      <c r="P267" s="1283"/>
      <c r="Q267" s="1345">
        <f>Q265+Q266</f>
        <v>126.6633734939759</v>
      </c>
    </row>
    <row r="268" spans="3:17" s="618" customFormat="1" ht="15" customHeight="1" x14ac:dyDescent="0.25">
      <c r="C268" s="1233"/>
      <c r="D268" s="1271"/>
      <c r="E268" s="562" t="s">
        <v>631</v>
      </c>
      <c r="F268" s="1272"/>
      <c r="G268" s="1272"/>
      <c r="H268" s="1272"/>
      <c r="I268" s="1272"/>
      <c r="J268" s="1272"/>
      <c r="K268" s="1272"/>
      <c r="L268" s="1272"/>
      <c r="M268" s="1272"/>
      <c r="N268" s="1272"/>
      <c r="O268" s="1272"/>
      <c r="P268" s="1273"/>
      <c r="Q268" s="1274"/>
    </row>
    <row r="269" spans="3:17" s="618" customFormat="1" ht="15" customHeight="1" x14ac:dyDescent="0.25">
      <c r="C269" s="1233"/>
      <c r="D269" s="563" t="s">
        <v>931</v>
      </c>
      <c r="E269" s="568" t="s">
        <v>932</v>
      </c>
      <c r="F269" s="1279"/>
      <c r="G269" s="1279"/>
      <c r="H269" s="1279"/>
      <c r="I269" s="1279"/>
      <c r="J269" s="1279"/>
      <c r="K269" s="1279"/>
      <c r="L269" s="1279"/>
      <c r="M269" s="1279"/>
      <c r="N269" s="1282" t="s">
        <v>12</v>
      </c>
      <c r="O269" s="1355">
        <v>2</v>
      </c>
      <c r="P269" s="1343">
        <v>261.91840000000002</v>
      </c>
      <c r="Q269" s="1346">
        <f t="shared" ref="Q269" si="31">O269*P269</f>
        <v>523.83680000000004</v>
      </c>
    </row>
    <row r="270" spans="3:17" s="618" customFormat="1" ht="15" customHeight="1" x14ac:dyDescent="0.25">
      <c r="C270" s="1233"/>
      <c r="D270" s="1271"/>
      <c r="E270" s="1276"/>
      <c r="F270" s="1285"/>
      <c r="G270" s="1285"/>
      <c r="H270" s="1285"/>
      <c r="I270" s="1285"/>
      <c r="J270" s="1285"/>
      <c r="K270" s="1285"/>
      <c r="L270" s="1285"/>
      <c r="M270" s="1285"/>
      <c r="N270" s="1282"/>
      <c r="O270" s="1284"/>
      <c r="P270" s="1272"/>
      <c r="Q270" s="1274"/>
    </row>
    <row r="271" spans="3:17" s="618" customFormat="1" ht="15" customHeight="1" x14ac:dyDescent="0.25">
      <c r="C271" s="1233"/>
      <c r="D271" s="1271"/>
      <c r="E271" s="1276"/>
      <c r="F271" s="1272"/>
      <c r="G271" s="1272"/>
      <c r="H271" s="1272"/>
      <c r="I271" s="1272"/>
      <c r="J271" s="1272"/>
      <c r="K271" s="1272"/>
      <c r="L271" s="1272"/>
      <c r="M271" s="1272"/>
      <c r="N271" s="1278" t="s">
        <v>933</v>
      </c>
      <c r="O271" s="1278"/>
      <c r="P271" s="1278"/>
      <c r="Q271" s="1346">
        <f>SUM(Q269:Q270)</f>
        <v>523.83680000000004</v>
      </c>
    </row>
    <row r="272" spans="3:17" s="618" customFormat="1" ht="15" customHeight="1" x14ac:dyDescent="0.25">
      <c r="C272" s="1233"/>
      <c r="D272" s="1271"/>
      <c r="E272" s="1276"/>
      <c r="F272" s="1272"/>
      <c r="G272" s="1272"/>
      <c r="H272" s="1272"/>
      <c r="I272" s="1272"/>
      <c r="J272" s="1272"/>
      <c r="K272" s="1272"/>
      <c r="L272" s="1272"/>
      <c r="M272" s="1272"/>
      <c r="N272" s="1282"/>
      <c r="O272" s="1286"/>
      <c r="P272" s="1286"/>
      <c r="Q272" s="1275"/>
    </row>
    <row r="273" spans="3:17" s="618" customFormat="1" ht="15" customHeight="1" x14ac:dyDescent="0.25">
      <c r="C273" s="1233"/>
      <c r="D273" s="1271"/>
      <c r="E273" s="562" t="s">
        <v>378</v>
      </c>
      <c r="F273" s="1272"/>
      <c r="G273" s="1272"/>
      <c r="H273" s="1272"/>
      <c r="I273" s="1272"/>
      <c r="J273" s="1272"/>
      <c r="K273" s="1272"/>
      <c r="L273" s="1272"/>
      <c r="M273" s="1272"/>
      <c r="N273" s="1272"/>
      <c r="O273" s="1272"/>
      <c r="P273" s="1273"/>
      <c r="Q273" s="1274"/>
    </row>
    <row r="274" spans="3:17" s="618" customFormat="1" ht="15" customHeight="1" x14ac:dyDescent="0.25">
      <c r="C274" s="1233"/>
      <c r="D274" s="563">
        <v>1109671</v>
      </c>
      <c r="E274" s="568" t="s">
        <v>934</v>
      </c>
      <c r="F274" s="1287"/>
      <c r="G274" s="1287"/>
      <c r="H274" s="1287"/>
      <c r="I274" s="1287"/>
      <c r="J274" s="1287"/>
      <c r="K274" s="1287"/>
      <c r="L274" s="1287"/>
      <c r="M274" s="1287"/>
      <c r="N274" s="1287" t="s">
        <v>11</v>
      </c>
      <c r="O274" s="1354">
        <v>1.1010000000000001E-2</v>
      </c>
      <c r="P274" s="1348">
        <v>330.12</v>
      </c>
      <c r="Q274" s="1349">
        <f t="shared" ref="Q274:Q276" si="32">O274*P274</f>
        <v>3.6346212000000002</v>
      </c>
    </row>
    <row r="275" spans="3:17" s="618" customFormat="1" ht="15" customHeight="1" x14ac:dyDescent="0.25">
      <c r="C275" s="1233"/>
      <c r="D275" s="563">
        <v>1106165</v>
      </c>
      <c r="E275" s="568" t="s">
        <v>935</v>
      </c>
      <c r="F275" s="1272"/>
      <c r="G275" s="1272"/>
      <c r="H275" s="1272"/>
      <c r="I275" s="1272"/>
      <c r="J275" s="1272"/>
      <c r="K275" s="1272"/>
      <c r="L275" s="1272"/>
      <c r="M275" s="1272"/>
      <c r="N275" s="1287" t="s">
        <v>11</v>
      </c>
      <c r="O275" s="1343">
        <v>0.61599999999999999</v>
      </c>
      <c r="P275" s="1344">
        <v>262.04000000000002</v>
      </c>
      <c r="Q275" s="1346">
        <f t="shared" si="32"/>
        <v>161.41664</v>
      </c>
    </row>
    <row r="276" spans="3:17" s="618" customFormat="1" ht="15" customHeight="1" x14ac:dyDescent="0.25">
      <c r="C276" s="1233"/>
      <c r="D276" s="563">
        <v>3103302</v>
      </c>
      <c r="E276" s="568" t="s">
        <v>936</v>
      </c>
      <c r="F276" s="1272"/>
      <c r="G276" s="1272"/>
      <c r="H276" s="1272"/>
      <c r="I276" s="1272"/>
      <c r="J276" s="1272"/>
      <c r="K276" s="1272"/>
      <c r="L276" s="1272"/>
      <c r="M276" s="1272"/>
      <c r="N276" s="1287" t="s">
        <v>11</v>
      </c>
      <c r="O276" s="1343">
        <v>0.7</v>
      </c>
      <c r="P276" s="1344">
        <v>60.18</v>
      </c>
      <c r="Q276" s="1346">
        <f t="shared" si="32"/>
        <v>42.125999999999998</v>
      </c>
    </row>
    <row r="277" spans="3:17" s="618" customFormat="1" ht="15" customHeight="1" x14ac:dyDescent="0.25">
      <c r="C277" s="1233"/>
      <c r="D277" s="1271"/>
      <c r="E277" s="1276"/>
      <c r="F277" s="1272"/>
      <c r="G277" s="1272"/>
      <c r="H277" s="1272"/>
      <c r="I277" s="1272"/>
      <c r="J277" s="1272"/>
      <c r="K277" s="1272"/>
      <c r="L277" s="1272"/>
      <c r="M277" s="1272"/>
      <c r="N277" s="1277" t="s">
        <v>937</v>
      </c>
      <c r="O277" s="1277"/>
      <c r="P277" s="1277"/>
      <c r="Q277" s="1345">
        <f>SUM(Q274:Q276)</f>
        <v>207.1772612</v>
      </c>
    </row>
    <row r="278" spans="3:17" s="618" customFormat="1" ht="15" customHeight="1" x14ac:dyDescent="0.25">
      <c r="C278" s="1233"/>
      <c r="D278" s="1271"/>
      <c r="E278" s="1276"/>
      <c r="F278" s="1272"/>
      <c r="G278" s="1272"/>
      <c r="H278" s="1272"/>
      <c r="I278" s="1272"/>
      <c r="J278" s="1272"/>
      <c r="K278" s="1272"/>
      <c r="L278" s="1272"/>
      <c r="M278" s="1272"/>
      <c r="N278" s="1282"/>
      <c r="O278" s="1286"/>
      <c r="P278" s="1286"/>
      <c r="Q278" s="1345"/>
    </row>
    <row r="279" spans="3:17" s="618" customFormat="1" ht="15" customHeight="1" x14ac:dyDescent="0.25">
      <c r="C279" s="1233"/>
      <c r="D279" s="1271"/>
      <c r="E279" s="1276"/>
      <c r="F279" s="1272"/>
      <c r="G279" s="1272"/>
      <c r="H279" s="1272"/>
      <c r="I279" s="1272"/>
      <c r="J279" s="1272"/>
      <c r="K279" s="1272"/>
      <c r="L279" s="1272"/>
      <c r="M279" s="1272"/>
      <c r="N279" s="1282"/>
      <c r="O279" s="1280" t="s">
        <v>384</v>
      </c>
      <c r="P279" s="1280"/>
      <c r="Q279" s="1346">
        <f>Q267+Q271+Q277</f>
        <v>857.6774346939759</v>
      </c>
    </row>
    <row r="280" spans="3:17" s="618" customFormat="1" ht="15" customHeight="1" x14ac:dyDescent="0.25">
      <c r="C280" s="1233"/>
      <c r="D280" s="1271"/>
      <c r="E280" s="1276"/>
      <c r="F280" s="1272"/>
      <c r="G280" s="1272"/>
      <c r="H280" s="1272"/>
      <c r="I280" s="1272"/>
      <c r="J280" s="1272"/>
      <c r="K280" s="1272"/>
      <c r="L280" s="1272"/>
      <c r="M280" s="1272"/>
      <c r="N280" s="1282"/>
      <c r="O280" s="1286" t="s">
        <v>226</v>
      </c>
      <c r="P280" s="1281"/>
      <c r="Q280" s="1346">
        <f>0.26*Q279</f>
        <v>222.99613302043375</v>
      </c>
    </row>
    <row r="281" spans="3:17" s="618" customFormat="1" ht="15" customHeight="1" x14ac:dyDescent="0.25">
      <c r="C281" s="1233"/>
      <c r="D281" s="1271"/>
      <c r="E281" s="1276"/>
      <c r="F281" s="1272"/>
      <c r="G281" s="1272"/>
      <c r="H281" s="1272"/>
      <c r="I281" s="1272"/>
      <c r="J281" s="1272"/>
      <c r="K281" s="1272"/>
      <c r="L281" s="1272"/>
      <c r="M281" s="1272"/>
      <c r="N281" s="1288" t="s">
        <v>263</v>
      </c>
      <c r="O281" s="1288"/>
      <c r="P281" s="1352">
        <f>(Q279+Q280)</f>
        <v>1080.6735677144097</v>
      </c>
      <c r="Q281" s="1353"/>
    </row>
    <row r="282" spans="3:17" s="618" customFormat="1" ht="15" customHeight="1" x14ac:dyDescent="0.25">
      <c r="C282" s="1233"/>
      <c r="D282" s="1271"/>
      <c r="E282" s="1276"/>
      <c r="F282" s="1272"/>
      <c r="G282" s="1272"/>
      <c r="H282" s="1272"/>
      <c r="I282" s="1272"/>
      <c r="J282" s="1272"/>
      <c r="K282" s="1272"/>
      <c r="L282" s="1272"/>
      <c r="M282" s="1272"/>
      <c r="N282" s="1289"/>
      <c r="O282" s="1289"/>
      <c r="P282" s="1290"/>
      <c r="Q282" s="1291"/>
    </row>
    <row r="283" spans="3:17" s="618" customFormat="1" ht="15" customHeight="1" x14ac:dyDescent="0.25">
      <c r="C283" s="552" t="s">
        <v>481</v>
      </c>
      <c r="D283" s="553" t="str">
        <f>'PLANILHA ORÇAMENTÁRIA'!C62</f>
        <v>Corpo de BSTC D= 0,80m - Fornecimento e assentamento</v>
      </c>
      <c r="E283" s="1235"/>
      <c r="F283" s="573"/>
      <c r="G283" s="1235"/>
      <c r="H283" s="592"/>
      <c r="I283" s="592"/>
      <c r="J283" s="1229"/>
      <c r="K283" s="574"/>
      <c r="L283" s="592"/>
      <c r="M283" s="1235"/>
      <c r="N283" s="1229"/>
      <c r="O283" s="1229"/>
      <c r="P283" s="1229"/>
      <c r="Q283" s="1241"/>
    </row>
    <row r="284" spans="3:17" s="618" customFormat="1" ht="15" customHeight="1" x14ac:dyDescent="0.25">
      <c r="C284" s="1233"/>
      <c r="D284" s="1271"/>
      <c r="E284" s="562" t="s">
        <v>386</v>
      </c>
      <c r="F284" s="1272"/>
      <c r="G284" s="1272"/>
      <c r="H284" s="1272"/>
      <c r="I284" s="1272"/>
      <c r="J284" s="1272"/>
      <c r="K284" s="1272"/>
      <c r="L284" s="1272"/>
      <c r="M284" s="1272"/>
      <c r="N284" s="1272"/>
      <c r="O284" s="1272"/>
      <c r="P284" s="1273"/>
      <c r="Q284" s="1274">
        <f t="shared" ref="Q284:Q285" si="33">O284*P284</f>
        <v>0</v>
      </c>
    </row>
    <row r="285" spans="3:17" s="618" customFormat="1" ht="15" customHeight="1" x14ac:dyDescent="0.25">
      <c r="C285" s="1233"/>
      <c r="D285" s="563" t="s">
        <v>928</v>
      </c>
      <c r="E285" s="568" t="s">
        <v>929</v>
      </c>
      <c r="F285" s="573"/>
      <c r="G285" s="1235"/>
      <c r="H285" s="592"/>
      <c r="I285" s="592"/>
      <c r="J285" s="1229"/>
      <c r="K285" s="574"/>
      <c r="L285" s="592"/>
      <c r="M285" s="1235"/>
      <c r="N285" s="1272"/>
      <c r="O285" s="1272">
        <v>1</v>
      </c>
      <c r="P285" s="1273">
        <v>216.45249999999999</v>
      </c>
      <c r="Q285" s="1345">
        <f t="shared" si="33"/>
        <v>216.45249999999999</v>
      </c>
    </row>
    <row r="286" spans="3:17" s="618" customFormat="1" ht="15" customHeight="1" x14ac:dyDescent="0.25">
      <c r="C286" s="1233"/>
      <c r="D286" s="1271"/>
      <c r="E286" s="1276"/>
      <c r="F286" s="1272"/>
      <c r="G286" s="1272"/>
      <c r="H286" s="1272"/>
      <c r="I286" s="1272"/>
      <c r="J286" s="1272"/>
      <c r="K286" s="1272"/>
      <c r="L286" s="1272"/>
      <c r="M286" s="1272"/>
      <c r="N286" s="1277" t="s">
        <v>364</v>
      </c>
      <c r="O286" s="1277"/>
      <c r="P286" s="1277"/>
      <c r="Q286" s="1346">
        <f>SUM(Q285:Q285)</f>
        <v>216.45249999999999</v>
      </c>
    </row>
    <row r="287" spans="3:17" s="618" customFormat="1" ht="15" customHeight="1" x14ac:dyDescent="0.25">
      <c r="C287" s="1233"/>
      <c r="D287" s="1271"/>
      <c r="E287" s="562" t="s">
        <v>395</v>
      </c>
      <c r="F287" s="1272"/>
      <c r="G287" s="1272"/>
      <c r="H287" s="1272"/>
      <c r="I287" s="1272"/>
      <c r="J287" s="1272"/>
      <c r="K287" s="1272"/>
      <c r="L287" s="1272"/>
      <c r="M287" s="1272"/>
      <c r="N287" s="1272"/>
      <c r="O287" s="1272"/>
      <c r="P287" s="1273"/>
      <c r="Q287" s="1274"/>
    </row>
    <row r="288" spans="3:17" s="618" customFormat="1" ht="15" customHeight="1" x14ac:dyDescent="0.25">
      <c r="C288" s="1233"/>
      <c r="D288" s="563" t="s">
        <v>712</v>
      </c>
      <c r="E288" s="568" t="s">
        <v>369</v>
      </c>
      <c r="F288" s="573"/>
      <c r="G288" s="1235"/>
      <c r="H288" s="592"/>
      <c r="I288" s="592"/>
      <c r="J288" s="1229"/>
      <c r="K288" s="574"/>
      <c r="L288" s="592"/>
      <c r="M288" s="1235"/>
      <c r="N288" s="1272" t="s">
        <v>48</v>
      </c>
      <c r="O288" s="1272">
        <v>3</v>
      </c>
      <c r="P288" s="1273">
        <v>15.458</v>
      </c>
      <c r="Q288" s="1345">
        <f t="shared" ref="Q288" si="34">O288*P288</f>
        <v>46.374000000000002</v>
      </c>
    </row>
    <row r="289" spans="3:17" s="618" customFormat="1" ht="15" customHeight="1" x14ac:dyDescent="0.25">
      <c r="C289" s="1233"/>
      <c r="D289" s="1271"/>
      <c r="E289" s="1276"/>
      <c r="F289" s="1272"/>
      <c r="G289" s="1272"/>
      <c r="H289" s="1272"/>
      <c r="I289" s="1272"/>
      <c r="J289" s="1272"/>
      <c r="K289" s="1272"/>
      <c r="L289" s="1272"/>
      <c r="M289" s="1272"/>
      <c r="N289" s="1278" t="s">
        <v>370</v>
      </c>
      <c r="O289" s="1278"/>
      <c r="P289" s="1278"/>
      <c r="Q289" s="1346">
        <f>SUM(Q288:Q288)</f>
        <v>46.374000000000002</v>
      </c>
    </row>
    <row r="290" spans="3:17" s="618" customFormat="1" ht="15" customHeight="1" x14ac:dyDescent="0.25">
      <c r="C290" s="1233"/>
      <c r="D290" s="1271"/>
      <c r="E290" s="1276"/>
      <c r="F290" s="1279"/>
      <c r="G290" s="1279"/>
      <c r="H290" s="1279"/>
      <c r="I290" s="1279"/>
      <c r="J290" s="1279"/>
      <c r="K290" s="1279"/>
      <c r="L290" s="1279"/>
      <c r="M290" s="1279"/>
      <c r="N290" s="1280" t="s">
        <v>371</v>
      </c>
      <c r="O290" s="1280"/>
      <c r="P290" s="1281">
        <v>0</v>
      </c>
      <c r="Q290" s="1274">
        <f>P290*Q289</f>
        <v>0</v>
      </c>
    </row>
    <row r="291" spans="3:17" s="618" customFormat="1" ht="15" customHeight="1" x14ac:dyDescent="0.25">
      <c r="C291" s="1233"/>
      <c r="D291" s="1271"/>
      <c r="E291" s="1276"/>
      <c r="F291" s="1272"/>
      <c r="G291" s="1272"/>
      <c r="H291" s="1272"/>
      <c r="I291" s="1272"/>
      <c r="J291" s="1272"/>
      <c r="K291" s="1272"/>
      <c r="L291" s="1272"/>
      <c r="M291" s="1272"/>
      <c r="N291" s="1282"/>
      <c r="O291" s="1280" t="s">
        <v>372</v>
      </c>
      <c r="P291" s="1280"/>
      <c r="Q291" s="1346">
        <f>Q289+Q290+Q286</f>
        <v>262.82650000000001</v>
      </c>
    </row>
    <row r="292" spans="3:17" s="618" customFormat="1" ht="15" customHeight="1" x14ac:dyDescent="0.25">
      <c r="C292" s="1233"/>
      <c r="D292" s="1271"/>
      <c r="E292" s="1276"/>
      <c r="F292" s="1272"/>
      <c r="G292" s="1272"/>
      <c r="H292" s="1272"/>
      <c r="I292" s="1272"/>
      <c r="J292" s="1272"/>
      <c r="K292" s="1272"/>
      <c r="L292" s="1272"/>
      <c r="M292" s="1272"/>
      <c r="N292" s="1282"/>
      <c r="O292" s="1280" t="s">
        <v>373</v>
      </c>
      <c r="P292" s="1280"/>
      <c r="Q292" s="1345">
        <f>Q291/4.15</f>
        <v>63.331686746987948</v>
      </c>
    </row>
    <row r="293" spans="3:17" s="618" customFormat="1" ht="15" customHeight="1" x14ac:dyDescent="0.25">
      <c r="C293" s="1233"/>
      <c r="D293" s="1271"/>
      <c r="E293" s="1276"/>
      <c r="F293" s="1272"/>
      <c r="G293" s="1272"/>
      <c r="H293" s="1272"/>
      <c r="I293" s="1272"/>
      <c r="J293" s="1272"/>
      <c r="K293" s="1272"/>
      <c r="L293" s="1272"/>
      <c r="M293" s="1272"/>
      <c r="N293" s="1282"/>
      <c r="O293" s="1280" t="s">
        <v>711</v>
      </c>
      <c r="P293" s="1280"/>
      <c r="Q293" s="1345">
        <v>0</v>
      </c>
    </row>
    <row r="294" spans="3:17" s="618" customFormat="1" ht="15" customHeight="1" x14ac:dyDescent="0.25">
      <c r="C294" s="1233"/>
      <c r="D294" s="1271"/>
      <c r="E294" s="1276"/>
      <c r="F294" s="1272"/>
      <c r="G294" s="1272"/>
      <c r="H294" s="1272"/>
      <c r="I294" s="1272"/>
      <c r="J294" s="1272"/>
      <c r="K294" s="1272"/>
      <c r="L294" s="1272"/>
      <c r="M294" s="1272"/>
      <c r="N294" s="1282"/>
      <c r="O294" s="1283" t="s">
        <v>930</v>
      </c>
      <c r="P294" s="1283"/>
      <c r="Q294" s="1345">
        <f>Q292+Q293</f>
        <v>63.331686746987948</v>
      </c>
    </row>
    <row r="295" spans="3:17" s="618" customFormat="1" ht="15" customHeight="1" x14ac:dyDescent="0.25">
      <c r="C295" s="1233"/>
      <c r="D295" s="1271"/>
      <c r="E295" s="562" t="s">
        <v>631</v>
      </c>
      <c r="F295" s="1272"/>
      <c r="G295" s="1272"/>
      <c r="H295" s="1272"/>
      <c r="I295" s="1272"/>
      <c r="J295" s="1272"/>
      <c r="K295" s="1272"/>
      <c r="L295" s="1272"/>
      <c r="M295" s="1272"/>
      <c r="N295" s="1272"/>
      <c r="O295" s="1272"/>
      <c r="P295" s="1273"/>
      <c r="Q295" s="1274"/>
    </row>
    <row r="296" spans="3:17" s="618" customFormat="1" ht="15" customHeight="1" x14ac:dyDescent="0.25">
      <c r="C296" s="1233"/>
      <c r="D296" s="563" t="s">
        <v>931</v>
      </c>
      <c r="E296" s="568" t="s">
        <v>932</v>
      </c>
      <c r="F296" s="1279"/>
      <c r="G296" s="1279"/>
      <c r="H296" s="1279"/>
      <c r="I296" s="1279"/>
      <c r="J296" s="1279"/>
      <c r="K296" s="1279"/>
      <c r="L296" s="1279"/>
      <c r="M296" s="1279"/>
      <c r="N296" s="1282" t="s">
        <v>12</v>
      </c>
      <c r="O296" s="1355">
        <v>1</v>
      </c>
      <c r="P296" s="1343">
        <v>261.91840000000002</v>
      </c>
      <c r="Q296" s="1346">
        <f t="shared" ref="Q296" si="35">O296*P296</f>
        <v>261.91840000000002</v>
      </c>
    </row>
    <row r="297" spans="3:17" s="618" customFormat="1" ht="15" customHeight="1" x14ac:dyDescent="0.25">
      <c r="C297" s="1233"/>
      <c r="D297" s="1271"/>
      <c r="E297" s="1276"/>
      <c r="F297" s="1285"/>
      <c r="G297" s="1285"/>
      <c r="H297" s="1285"/>
      <c r="I297" s="1285"/>
      <c r="J297" s="1285"/>
      <c r="K297" s="1285"/>
      <c r="L297" s="1285"/>
      <c r="M297" s="1285"/>
      <c r="N297" s="1282"/>
      <c r="O297" s="1284"/>
      <c r="P297" s="1272"/>
      <c r="Q297" s="1274"/>
    </row>
    <row r="298" spans="3:17" s="618" customFormat="1" ht="15" customHeight="1" x14ac:dyDescent="0.25">
      <c r="C298" s="1233"/>
      <c r="D298" s="1271"/>
      <c r="E298" s="1276"/>
      <c r="F298" s="1272"/>
      <c r="G298" s="1272"/>
      <c r="H298" s="1272"/>
      <c r="I298" s="1272"/>
      <c r="J298" s="1272"/>
      <c r="K298" s="1272"/>
      <c r="L298" s="1272"/>
      <c r="M298" s="1272"/>
      <c r="N298" s="1278" t="s">
        <v>933</v>
      </c>
      <c r="O298" s="1278"/>
      <c r="P298" s="1278"/>
      <c r="Q298" s="1346">
        <f>SUM(Q296:Q297)</f>
        <v>261.91840000000002</v>
      </c>
    </row>
    <row r="299" spans="3:17" s="618" customFormat="1" ht="15" customHeight="1" x14ac:dyDescent="0.25">
      <c r="C299" s="1233"/>
      <c r="D299" s="1271"/>
      <c r="E299" s="1276"/>
      <c r="F299" s="1272"/>
      <c r="G299" s="1272"/>
      <c r="H299" s="1272"/>
      <c r="I299" s="1272"/>
      <c r="J299" s="1272"/>
      <c r="K299" s="1272"/>
      <c r="L299" s="1272"/>
      <c r="M299" s="1272"/>
      <c r="N299" s="1282"/>
      <c r="O299" s="1286"/>
      <c r="P299" s="1286"/>
      <c r="Q299" s="1275"/>
    </row>
    <row r="300" spans="3:17" s="618" customFormat="1" ht="15" customHeight="1" x14ac:dyDescent="0.25">
      <c r="C300" s="1233"/>
      <c r="D300" s="1271"/>
      <c r="E300" s="562" t="s">
        <v>378</v>
      </c>
      <c r="F300" s="1272"/>
      <c r="G300" s="1272"/>
      <c r="H300" s="1272"/>
      <c r="I300" s="1272"/>
      <c r="J300" s="1272"/>
      <c r="K300" s="1272"/>
      <c r="L300" s="1272"/>
      <c r="M300" s="1272"/>
      <c r="N300" s="1272"/>
      <c r="O300" s="1272"/>
      <c r="P300" s="1273"/>
      <c r="Q300" s="1274"/>
    </row>
    <row r="301" spans="3:17" s="618" customFormat="1" ht="15" customHeight="1" x14ac:dyDescent="0.25">
      <c r="C301" s="1233"/>
      <c r="D301" s="563">
        <v>1109671</v>
      </c>
      <c r="E301" s="568" t="s">
        <v>934</v>
      </c>
      <c r="F301" s="1287"/>
      <c r="G301" s="1287"/>
      <c r="H301" s="1287"/>
      <c r="I301" s="1287"/>
      <c r="J301" s="1287"/>
      <c r="K301" s="1287"/>
      <c r="L301" s="1287"/>
      <c r="M301" s="1287"/>
      <c r="N301" s="1287" t="s">
        <v>11</v>
      </c>
      <c r="O301" s="1354">
        <v>5.4999999999999997E-3</v>
      </c>
      <c r="P301" s="1348">
        <v>330.12</v>
      </c>
      <c r="Q301" s="1349">
        <f t="shared" ref="Q301:Q303" si="36">O301*P301</f>
        <v>1.8156599999999998</v>
      </c>
    </row>
    <row r="302" spans="3:17" s="618" customFormat="1" ht="15" customHeight="1" x14ac:dyDescent="0.25">
      <c r="C302" s="1233"/>
      <c r="D302" s="563">
        <v>1106165</v>
      </c>
      <c r="E302" s="568" t="s">
        <v>935</v>
      </c>
      <c r="F302" s="1272"/>
      <c r="G302" s="1272"/>
      <c r="H302" s="1272"/>
      <c r="I302" s="1272"/>
      <c r="J302" s="1272"/>
      <c r="K302" s="1272"/>
      <c r="L302" s="1272"/>
      <c r="M302" s="1272"/>
      <c r="N302" s="1287" t="s">
        <v>11</v>
      </c>
      <c r="O302" s="1343">
        <v>0.308</v>
      </c>
      <c r="P302" s="1344">
        <v>262.04000000000002</v>
      </c>
      <c r="Q302" s="1346">
        <f t="shared" si="36"/>
        <v>80.708320000000001</v>
      </c>
    </row>
    <row r="303" spans="3:17" s="618" customFormat="1" ht="15" customHeight="1" x14ac:dyDescent="0.25">
      <c r="C303" s="1233"/>
      <c r="D303" s="563">
        <v>3103302</v>
      </c>
      <c r="E303" s="568" t="s">
        <v>936</v>
      </c>
      <c r="F303" s="1272"/>
      <c r="G303" s="1272"/>
      <c r="H303" s="1272"/>
      <c r="I303" s="1272"/>
      <c r="J303" s="1272"/>
      <c r="K303" s="1272"/>
      <c r="L303" s="1272"/>
      <c r="M303" s="1272"/>
      <c r="N303" s="1287" t="s">
        <v>11</v>
      </c>
      <c r="O303" s="1343">
        <v>0.7</v>
      </c>
      <c r="P303" s="1344">
        <v>60.18</v>
      </c>
      <c r="Q303" s="1346">
        <f t="shared" si="36"/>
        <v>42.125999999999998</v>
      </c>
    </row>
    <row r="304" spans="3:17" s="618" customFormat="1" ht="15" customHeight="1" x14ac:dyDescent="0.25">
      <c r="C304" s="1233"/>
      <c r="D304" s="1271"/>
      <c r="E304" s="1276"/>
      <c r="F304" s="1272"/>
      <c r="G304" s="1272"/>
      <c r="H304" s="1272"/>
      <c r="I304" s="1272"/>
      <c r="J304" s="1272"/>
      <c r="K304" s="1272"/>
      <c r="L304" s="1272"/>
      <c r="M304" s="1272"/>
      <c r="N304" s="1277" t="s">
        <v>937</v>
      </c>
      <c r="O304" s="1277"/>
      <c r="P304" s="1277"/>
      <c r="Q304" s="1345">
        <f>SUM(Q301:Q303)</f>
        <v>124.64998</v>
      </c>
    </row>
    <row r="305" spans="3:17" s="618" customFormat="1" ht="15" customHeight="1" x14ac:dyDescent="0.25">
      <c r="C305" s="1233"/>
      <c r="D305" s="1271"/>
      <c r="E305" s="1276"/>
      <c r="F305" s="1272"/>
      <c r="G305" s="1272"/>
      <c r="H305" s="1272"/>
      <c r="I305" s="1272"/>
      <c r="J305" s="1272"/>
      <c r="K305" s="1272"/>
      <c r="L305" s="1272"/>
      <c r="M305" s="1272"/>
      <c r="N305" s="1282"/>
      <c r="O305" s="1286"/>
      <c r="P305" s="1286"/>
      <c r="Q305" s="1275"/>
    </row>
    <row r="306" spans="3:17" s="618" customFormat="1" ht="15" customHeight="1" x14ac:dyDescent="0.25">
      <c r="C306" s="1233"/>
      <c r="D306" s="1271"/>
      <c r="E306" s="1276"/>
      <c r="F306" s="1272"/>
      <c r="G306" s="1272"/>
      <c r="H306" s="1272"/>
      <c r="I306" s="1272"/>
      <c r="J306" s="1272"/>
      <c r="K306" s="1272"/>
      <c r="L306" s="1272"/>
      <c r="M306" s="1272"/>
      <c r="N306" s="1282"/>
      <c r="O306" s="1280" t="s">
        <v>384</v>
      </c>
      <c r="P306" s="1280"/>
      <c r="Q306" s="1346">
        <f>Q294+Q298+Q304</f>
        <v>449.90006674698793</v>
      </c>
    </row>
    <row r="307" spans="3:17" s="618" customFormat="1" ht="15" customHeight="1" x14ac:dyDescent="0.25">
      <c r="C307" s="1233"/>
      <c r="D307" s="1271"/>
      <c r="E307" s="1276"/>
      <c r="F307" s="1272"/>
      <c r="G307" s="1272"/>
      <c r="H307" s="1272"/>
      <c r="I307" s="1272"/>
      <c r="J307" s="1272"/>
      <c r="K307" s="1272"/>
      <c r="L307" s="1272"/>
      <c r="M307" s="1272"/>
      <c r="N307" s="1282"/>
      <c r="O307" s="1286" t="s">
        <v>226</v>
      </c>
      <c r="P307" s="1281"/>
      <c r="Q307" s="1346">
        <f>0.26*Q306</f>
        <v>116.97401735421687</v>
      </c>
    </row>
    <row r="308" spans="3:17" s="618" customFormat="1" ht="15" customHeight="1" x14ac:dyDescent="0.25">
      <c r="C308" s="1233"/>
      <c r="D308" s="1271"/>
      <c r="E308" s="1276"/>
      <c r="F308" s="1272"/>
      <c r="G308" s="1272"/>
      <c r="H308" s="1272"/>
      <c r="I308" s="1272"/>
      <c r="J308" s="1272"/>
      <c r="K308" s="1272"/>
      <c r="L308" s="1272"/>
      <c r="M308" s="1272"/>
      <c r="N308" s="1288" t="s">
        <v>263</v>
      </c>
      <c r="O308" s="1288"/>
      <c r="P308" s="1352">
        <f>(Q306+Q307)</f>
        <v>566.87408410120474</v>
      </c>
      <c r="Q308" s="1353"/>
    </row>
    <row r="309" spans="3:17" s="618" customFormat="1" ht="15" customHeight="1" x14ac:dyDescent="0.25">
      <c r="C309" s="1233"/>
      <c r="D309" s="1271"/>
      <c r="E309" s="1276"/>
      <c r="F309" s="1272"/>
      <c r="G309" s="1272"/>
      <c r="H309" s="1272"/>
      <c r="I309" s="1272"/>
      <c r="J309" s="1272"/>
      <c r="K309" s="1272"/>
      <c r="L309" s="1272"/>
      <c r="M309" s="1272"/>
      <c r="N309" s="1289"/>
      <c r="O309" s="1289"/>
      <c r="P309" s="1290"/>
      <c r="Q309" s="1291"/>
    </row>
    <row r="310" spans="3:17" s="618" customFormat="1" ht="15" customHeight="1" x14ac:dyDescent="0.25">
      <c r="C310" s="552" t="s">
        <v>482</v>
      </c>
      <c r="D310" s="553" t="str">
        <f>'PLANILHA ORÇAMENTÁRIA'!C63</f>
        <v>Corpo de BDTC D= 0,60m - Fornecimento e assentamento</v>
      </c>
      <c r="E310" s="1235"/>
      <c r="F310" s="573"/>
      <c r="G310" s="1235"/>
      <c r="H310" s="592"/>
      <c r="I310" s="592"/>
      <c r="J310" s="1229"/>
      <c r="K310" s="574"/>
      <c r="L310" s="592"/>
      <c r="M310" s="1235"/>
      <c r="N310" s="1229"/>
      <c r="O310" s="1229"/>
      <c r="P310" s="1229"/>
      <c r="Q310" s="1241"/>
    </row>
    <row r="311" spans="3:17" s="618" customFormat="1" ht="15" customHeight="1" x14ac:dyDescent="0.25">
      <c r="C311" s="1233"/>
      <c r="D311" s="1271"/>
      <c r="E311" s="562" t="s">
        <v>386</v>
      </c>
      <c r="F311" s="1272"/>
      <c r="G311" s="1272"/>
      <c r="H311" s="1272"/>
      <c r="I311" s="1272"/>
      <c r="J311" s="1272"/>
      <c r="K311" s="1272"/>
      <c r="L311" s="1272"/>
      <c r="M311" s="1272"/>
      <c r="N311" s="1272"/>
      <c r="O311" s="1272"/>
      <c r="P311" s="1273"/>
      <c r="Q311" s="1346">
        <f t="shared" ref="Q311:Q312" si="37">O311*P311</f>
        <v>0</v>
      </c>
    </row>
    <row r="312" spans="3:17" s="618" customFormat="1" ht="15" customHeight="1" x14ac:dyDescent="0.25">
      <c r="C312" s="1233"/>
      <c r="D312" s="563" t="s">
        <v>928</v>
      </c>
      <c r="E312" s="568" t="s">
        <v>929</v>
      </c>
      <c r="F312" s="573"/>
      <c r="G312" s="1235"/>
      <c r="H312" s="592"/>
      <c r="I312" s="592"/>
      <c r="J312" s="1229"/>
      <c r="K312" s="574"/>
      <c r="L312" s="592"/>
      <c r="M312" s="1235"/>
      <c r="N312" s="1272"/>
      <c r="O312" s="1272">
        <v>1</v>
      </c>
      <c r="P312" s="1344">
        <v>216.45249999999999</v>
      </c>
      <c r="Q312" s="1345">
        <f t="shared" si="37"/>
        <v>216.45249999999999</v>
      </c>
    </row>
    <row r="313" spans="3:17" s="618" customFormat="1" ht="15" customHeight="1" x14ac:dyDescent="0.25">
      <c r="C313" s="1233"/>
      <c r="D313" s="1271"/>
      <c r="E313" s="1276"/>
      <c r="F313" s="1272"/>
      <c r="G313" s="1272"/>
      <c r="H313" s="1272"/>
      <c r="I313" s="1272"/>
      <c r="J313" s="1272"/>
      <c r="K313" s="1272"/>
      <c r="L313" s="1272"/>
      <c r="M313" s="1272"/>
      <c r="N313" s="1277" t="s">
        <v>364</v>
      </c>
      <c r="O313" s="1277"/>
      <c r="P313" s="1277"/>
      <c r="Q313" s="1346">
        <f>SUM(Q312:Q312)</f>
        <v>216.45249999999999</v>
      </c>
    </row>
    <row r="314" spans="3:17" s="618" customFormat="1" ht="15" customHeight="1" x14ac:dyDescent="0.25">
      <c r="C314" s="1233"/>
      <c r="D314" s="1271"/>
      <c r="E314" s="562" t="s">
        <v>395</v>
      </c>
      <c r="F314" s="1272"/>
      <c r="G314" s="1272"/>
      <c r="H314" s="1272"/>
      <c r="I314" s="1272"/>
      <c r="J314" s="1272"/>
      <c r="K314" s="1272"/>
      <c r="L314" s="1272"/>
      <c r="M314" s="1272"/>
      <c r="N314" s="1272"/>
      <c r="O314" s="1272"/>
      <c r="P314" s="1273"/>
      <c r="Q314" s="1274"/>
    </row>
    <row r="315" spans="3:17" s="618" customFormat="1" ht="15" customHeight="1" x14ac:dyDescent="0.25">
      <c r="C315" s="1233"/>
      <c r="D315" s="563" t="s">
        <v>712</v>
      </c>
      <c r="E315" s="568" t="s">
        <v>369</v>
      </c>
      <c r="F315" s="573"/>
      <c r="G315" s="1235"/>
      <c r="H315" s="592"/>
      <c r="I315" s="592"/>
      <c r="J315" s="1229"/>
      <c r="K315" s="574"/>
      <c r="L315" s="592"/>
      <c r="M315" s="1235"/>
      <c r="N315" s="1272" t="s">
        <v>48</v>
      </c>
      <c r="O315" s="1272">
        <v>3</v>
      </c>
      <c r="P315" s="1344">
        <v>15.458</v>
      </c>
      <c r="Q315" s="1345">
        <f t="shared" ref="Q315" si="38">O315*P315</f>
        <v>46.374000000000002</v>
      </c>
    </row>
    <row r="316" spans="3:17" s="618" customFormat="1" ht="15" customHeight="1" x14ac:dyDescent="0.25">
      <c r="C316" s="1233"/>
      <c r="D316" s="1271"/>
      <c r="E316" s="1276"/>
      <c r="F316" s="1272"/>
      <c r="G316" s="1272"/>
      <c r="H316" s="1272"/>
      <c r="I316" s="1272"/>
      <c r="J316" s="1272"/>
      <c r="K316" s="1272"/>
      <c r="L316" s="1272"/>
      <c r="M316" s="1272"/>
      <c r="N316" s="1278" t="s">
        <v>370</v>
      </c>
      <c r="O316" s="1278"/>
      <c r="P316" s="1278"/>
      <c r="Q316" s="1346">
        <f>SUM(Q315:Q315)</f>
        <v>46.374000000000002</v>
      </c>
    </row>
    <row r="317" spans="3:17" s="618" customFormat="1" ht="15" customHeight="1" x14ac:dyDescent="0.25">
      <c r="C317" s="1233"/>
      <c r="D317" s="1271"/>
      <c r="E317" s="1276"/>
      <c r="F317" s="1279"/>
      <c r="G317" s="1279"/>
      <c r="H317" s="1279"/>
      <c r="I317" s="1279"/>
      <c r="J317" s="1279"/>
      <c r="K317" s="1279"/>
      <c r="L317" s="1279"/>
      <c r="M317" s="1279"/>
      <c r="N317" s="1280" t="s">
        <v>371</v>
      </c>
      <c r="O317" s="1280"/>
      <c r="P317" s="1281">
        <v>0</v>
      </c>
      <c r="Q317" s="1346">
        <f>P317*Q316</f>
        <v>0</v>
      </c>
    </row>
    <row r="318" spans="3:17" s="618" customFormat="1" ht="15" customHeight="1" x14ac:dyDescent="0.25">
      <c r="C318" s="1233"/>
      <c r="D318" s="1271"/>
      <c r="E318" s="1276"/>
      <c r="F318" s="1272"/>
      <c r="G318" s="1272"/>
      <c r="H318" s="1272"/>
      <c r="I318" s="1272"/>
      <c r="J318" s="1272"/>
      <c r="K318" s="1272"/>
      <c r="L318" s="1272"/>
      <c r="M318" s="1272"/>
      <c r="N318" s="1282"/>
      <c r="O318" s="1280" t="s">
        <v>372</v>
      </c>
      <c r="P318" s="1280"/>
      <c r="Q318" s="1346">
        <f>Q316+Q317+Q313</f>
        <v>262.82650000000001</v>
      </c>
    </row>
    <row r="319" spans="3:17" s="618" customFormat="1" ht="15" customHeight="1" x14ac:dyDescent="0.25">
      <c r="C319" s="1233"/>
      <c r="D319" s="1271"/>
      <c r="E319" s="1276"/>
      <c r="F319" s="1272"/>
      <c r="G319" s="1272"/>
      <c r="H319" s="1272"/>
      <c r="I319" s="1272"/>
      <c r="J319" s="1272"/>
      <c r="K319" s="1272"/>
      <c r="L319" s="1272"/>
      <c r="M319" s="1272"/>
      <c r="N319" s="1282"/>
      <c r="O319" s="1280" t="s">
        <v>373</v>
      </c>
      <c r="P319" s="1280"/>
      <c r="Q319" s="1345">
        <f>Q318/6.225</f>
        <v>42.221124497991973</v>
      </c>
    </row>
    <row r="320" spans="3:17" s="618" customFormat="1" ht="15" customHeight="1" x14ac:dyDescent="0.25">
      <c r="C320" s="1233"/>
      <c r="D320" s="1271"/>
      <c r="E320" s="1276"/>
      <c r="F320" s="1272"/>
      <c r="G320" s="1272"/>
      <c r="H320" s="1272"/>
      <c r="I320" s="1272"/>
      <c r="J320" s="1272"/>
      <c r="K320" s="1272"/>
      <c r="L320" s="1272"/>
      <c r="M320" s="1272"/>
      <c r="N320" s="1282"/>
      <c r="O320" s="1280" t="s">
        <v>711</v>
      </c>
      <c r="P320" s="1280"/>
      <c r="Q320" s="1345">
        <v>0</v>
      </c>
    </row>
    <row r="321" spans="3:17" s="618" customFormat="1" ht="15" customHeight="1" x14ac:dyDescent="0.25">
      <c r="C321" s="1233"/>
      <c r="D321" s="1271"/>
      <c r="E321" s="1276"/>
      <c r="F321" s="1272"/>
      <c r="G321" s="1272"/>
      <c r="H321" s="1272"/>
      <c r="I321" s="1272"/>
      <c r="J321" s="1272"/>
      <c r="K321" s="1272"/>
      <c r="L321" s="1272"/>
      <c r="M321" s="1272"/>
      <c r="N321" s="1282"/>
      <c r="O321" s="1283" t="s">
        <v>930</v>
      </c>
      <c r="P321" s="1283"/>
      <c r="Q321" s="1345">
        <f>Q319+Q320</f>
        <v>42.221124497991973</v>
      </c>
    </row>
    <row r="322" spans="3:17" s="618" customFormat="1" ht="15" customHeight="1" x14ac:dyDescent="0.25">
      <c r="C322" s="1233"/>
      <c r="D322" s="1271"/>
      <c r="E322" s="562" t="s">
        <v>631</v>
      </c>
      <c r="F322" s="1272"/>
      <c r="G322" s="1272"/>
      <c r="H322" s="1272"/>
      <c r="I322" s="1272"/>
      <c r="J322" s="1272"/>
      <c r="K322" s="1272"/>
      <c r="L322" s="1272"/>
      <c r="M322" s="1272"/>
      <c r="N322" s="1272"/>
      <c r="O322" s="1272"/>
      <c r="P322" s="1273"/>
      <c r="Q322" s="1274"/>
    </row>
    <row r="323" spans="3:17" s="618" customFormat="1" ht="15" customHeight="1" x14ac:dyDescent="0.25">
      <c r="C323" s="1233"/>
      <c r="D323" s="563" t="s">
        <v>942</v>
      </c>
      <c r="E323" s="568" t="s">
        <v>941</v>
      </c>
      <c r="F323" s="1279"/>
      <c r="G323" s="1279"/>
      <c r="H323" s="1279"/>
      <c r="I323" s="1279"/>
      <c r="J323" s="1279"/>
      <c r="K323" s="1279"/>
      <c r="L323" s="1279"/>
      <c r="M323" s="1279"/>
      <c r="N323" s="1282" t="s">
        <v>12</v>
      </c>
      <c r="O323" s="1355">
        <v>2</v>
      </c>
      <c r="P323" s="1343">
        <v>150</v>
      </c>
      <c r="Q323" s="1346">
        <f t="shared" ref="Q323" si="39">O323*P323</f>
        <v>300</v>
      </c>
    </row>
    <row r="324" spans="3:17" s="618" customFormat="1" ht="15" customHeight="1" x14ac:dyDescent="0.25">
      <c r="C324" s="1233"/>
      <c r="D324" s="1271"/>
      <c r="E324" s="1276"/>
      <c r="F324" s="1285"/>
      <c r="G324" s="1285"/>
      <c r="H324" s="1285"/>
      <c r="I324" s="1285"/>
      <c r="J324" s="1285"/>
      <c r="K324" s="1285"/>
      <c r="L324" s="1285"/>
      <c r="M324" s="1285"/>
      <c r="N324" s="1282"/>
      <c r="O324" s="1284"/>
      <c r="P324" s="1272"/>
      <c r="Q324" s="1274"/>
    </row>
    <row r="325" spans="3:17" s="618" customFormat="1" ht="15" customHeight="1" x14ac:dyDescent="0.25">
      <c r="C325" s="1233"/>
      <c r="D325" s="1271"/>
      <c r="E325" s="1276"/>
      <c r="F325" s="1272"/>
      <c r="G325" s="1272"/>
      <c r="H325" s="1272"/>
      <c r="I325" s="1272"/>
      <c r="J325" s="1272"/>
      <c r="K325" s="1272"/>
      <c r="L325" s="1272"/>
      <c r="M325" s="1272"/>
      <c r="N325" s="1278" t="s">
        <v>933</v>
      </c>
      <c r="O325" s="1278"/>
      <c r="P325" s="1278"/>
      <c r="Q325" s="1346">
        <f>SUM(Q323:Q324)</f>
        <v>300</v>
      </c>
    </row>
    <row r="326" spans="3:17" s="618" customFormat="1" ht="15" customHeight="1" x14ac:dyDescent="0.25">
      <c r="C326" s="1233"/>
      <c r="D326" s="1271"/>
      <c r="E326" s="1276"/>
      <c r="F326" s="1272"/>
      <c r="G326" s="1272"/>
      <c r="H326" s="1272"/>
      <c r="I326" s="1272"/>
      <c r="J326" s="1272"/>
      <c r="K326" s="1272"/>
      <c r="L326" s="1272"/>
      <c r="M326" s="1272"/>
      <c r="N326" s="1282"/>
      <c r="O326" s="1286"/>
      <c r="P326" s="1286"/>
      <c r="Q326" s="1275"/>
    </row>
    <row r="327" spans="3:17" s="618" customFormat="1" ht="15" customHeight="1" x14ac:dyDescent="0.25">
      <c r="C327" s="1233"/>
      <c r="D327" s="1271"/>
      <c r="E327" s="562" t="s">
        <v>378</v>
      </c>
      <c r="F327" s="1272"/>
      <c r="G327" s="1272"/>
      <c r="H327" s="1272"/>
      <c r="I327" s="1272"/>
      <c r="J327" s="1272"/>
      <c r="K327" s="1272"/>
      <c r="L327" s="1272"/>
      <c r="M327" s="1272"/>
      <c r="N327" s="1272"/>
      <c r="O327" s="1272"/>
      <c r="P327" s="1273"/>
      <c r="Q327" s="1274"/>
    </row>
    <row r="328" spans="3:17" s="618" customFormat="1" ht="15" customHeight="1" x14ac:dyDescent="0.25">
      <c r="C328" s="1233"/>
      <c r="D328" s="563">
        <v>1109671</v>
      </c>
      <c r="E328" s="568" t="s">
        <v>934</v>
      </c>
      <c r="F328" s="1287"/>
      <c r="G328" s="1287"/>
      <c r="H328" s="1287"/>
      <c r="I328" s="1287"/>
      <c r="J328" s="1287"/>
      <c r="K328" s="1287"/>
      <c r="L328" s="1287"/>
      <c r="M328" s="1287"/>
      <c r="N328" s="1287" t="s">
        <v>11</v>
      </c>
      <c r="O328" s="1354">
        <v>9.1999999999999998E-3</v>
      </c>
      <c r="P328" s="1348">
        <v>330.12</v>
      </c>
      <c r="Q328" s="1349">
        <f t="shared" ref="Q328:Q330" si="40">O328*P328</f>
        <v>3.0371039999999998</v>
      </c>
    </row>
    <row r="329" spans="3:17" s="618" customFormat="1" ht="15" customHeight="1" x14ac:dyDescent="0.25">
      <c r="C329" s="1233"/>
      <c r="D329" s="563">
        <v>1106165</v>
      </c>
      <c r="E329" s="568" t="s">
        <v>935</v>
      </c>
      <c r="F329" s="1272"/>
      <c r="G329" s="1272"/>
      <c r="H329" s="1272"/>
      <c r="I329" s="1272"/>
      <c r="J329" s="1272"/>
      <c r="K329" s="1272"/>
      <c r="L329" s="1272"/>
      <c r="M329" s="1272"/>
      <c r="N329" s="1287" t="s">
        <v>11</v>
      </c>
      <c r="O329" s="1343">
        <v>0.58040000000000003</v>
      </c>
      <c r="P329" s="1344">
        <v>262.04000000000002</v>
      </c>
      <c r="Q329" s="1346">
        <f t="shared" si="40"/>
        <v>152.08801600000001</v>
      </c>
    </row>
    <row r="330" spans="3:17" s="618" customFormat="1" ht="15" customHeight="1" x14ac:dyDescent="0.25">
      <c r="C330" s="1233"/>
      <c r="D330" s="563">
        <v>3103302</v>
      </c>
      <c r="E330" s="568" t="s">
        <v>936</v>
      </c>
      <c r="F330" s="1272"/>
      <c r="G330" s="1272"/>
      <c r="H330" s="1272"/>
      <c r="I330" s="1272"/>
      <c r="J330" s="1272"/>
      <c r="K330" s="1272"/>
      <c r="L330" s="1272"/>
      <c r="M330" s="1272"/>
      <c r="N330" s="1287" t="s">
        <v>11</v>
      </c>
      <c r="O330" s="1343">
        <v>0.8</v>
      </c>
      <c r="P330" s="1344">
        <v>60.18</v>
      </c>
      <c r="Q330" s="1346">
        <f t="shared" si="40"/>
        <v>48.144000000000005</v>
      </c>
    </row>
    <row r="331" spans="3:17" s="618" customFormat="1" ht="15" customHeight="1" x14ac:dyDescent="0.25">
      <c r="C331" s="1233"/>
      <c r="D331" s="1271"/>
      <c r="E331" s="1276"/>
      <c r="F331" s="1272"/>
      <c r="G331" s="1272"/>
      <c r="H331" s="1272"/>
      <c r="I331" s="1272"/>
      <c r="J331" s="1272"/>
      <c r="K331" s="1272"/>
      <c r="L331" s="1272"/>
      <c r="M331" s="1272"/>
      <c r="N331" s="1277" t="s">
        <v>937</v>
      </c>
      <c r="O331" s="1277"/>
      <c r="P331" s="1277"/>
      <c r="Q331" s="1345">
        <f>SUM(Q328:Q330)</f>
        <v>203.26912000000002</v>
      </c>
    </row>
    <row r="332" spans="3:17" s="618" customFormat="1" ht="15" customHeight="1" x14ac:dyDescent="0.25">
      <c r="C332" s="1233"/>
      <c r="D332" s="1271"/>
      <c r="E332" s="1276"/>
      <c r="F332" s="1272"/>
      <c r="G332" s="1272"/>
      <c r="H332" s="1272"/>
      <c r="I332" s="1272"/>
      <c r="J332" s="1272"/>
      <c r="K332" s="1272"/>
      <c r="L332" s="1272"/>
      <c r="M332" s="1272"/>
      <c r="N332" s="1282"/>
      <c r="O332" s="1286"/>
      <c r="P332" s="1286"/>
      <c r="Q332" s="1275"/>
    </row>
    <row r="333" spans="3:17" s="618" customFormat="1" ht="15" customHeight="1" x14ac:dyDescent="0.25">
      <c r="C333" s="1233"/>
      <c r="D333" s="1271"/>
      <c r="E333" s="1276"/>
      <c r="F333" s="1272"/>
      <c r="G333" s="1272"/>
      <c r="H333" s="1272"/>
      <c r="I333" s="1272"/>
      <c r="J333" s="1272"/>
      <c r="K333" s="1272"/>
      <c r="L333" s="1272"/>
      <c r="M333" s="1272"/>
      <c r="N333" s="1282"/>
      <c r="O333" s="1280" t="s">
        <v>384</v>
      </c>
      <c r="P333" s="1280"/>
      <c r="Q333" s="1346">
        <f>Q321+Q325+Q331</f>
        <v>545.49024449799197</v>
      </c>
    </row>
    <row r="334" spans="3:17" s="618" customFormat="1" ht="15" customHeight="1" x14ac:dyDescent="0.25">
      <c r="C334" s="1233"/>
      <c r="D334" s="1271"/>
      <c r="E334" s="1276"/>
      <c r="F334" s="1272"/>
      <c r="G334" s="1272"/>
      <c r="H334" s="1272"/>
      <c r="I334" s="1272"/>
      <c r="J334" s="1272"/>
      <c r="K334" s="1272"/>
      <c r="L334" s="1272"/>
      <c r="M334" s="1272"/>
      <c r="N334" s="1282"/>
      <c r="O334" s="1286" t="s">
        <v>226</v>
      </c>
      <c r="P334" s="1281"/>
      <c r="Q334" s="1346">
        <f>0.26*Q333</f>
        <v>141.82746356947791</v>
      </c>
    </row>
    <row r="335" spans="3:17" s="618" customFormat="1" ht="15" customHeight="1" x14ac:dyDescent="0.25">
      <c r="C335" s="1233"/>
      <c r="D335" s="1271"/>
      <c r="E335" s="1276"/>
      <c r="F335" s="1272"/>
      <c r="G335" s="1272"/>
      <c r="H335" s="1272"/>
      <c r="I335" s="1272"/>
      <c r="J335" s="1272"/>
      <c r="K335" s="1272"/>
      <c r="L335" s="1272"/>
      <c r="M335" s="1272"/>
      <c r="N335" s="1288" t="s">
        <v>263</v>
      </c>
      <c r="O335" s="1288"/>
      <c r="P335" s="1352">
        <f>(Q333+Q334)</f>
        <v>687.31770806746988</v>
      </c>
      <c r="Q335" s="1353"/>
    </row>
    <row r="336" spans="3:17" s="618" customFormat="1" ht="15" customHeight="1" x14ac:dyDescent="0.25">
      <c r="C336" s="1233"/>
      <c r="D336" s="1271"/>
      <c r="E336" s="1276"/>
      <c r="F336" s="1272"/>
      <c r="G336" s="1272"/>
      <c r="H336" s="1272"/>
      <c r="I336" s="1272"/>
      <c r="J336" s="1272"/>
      <c r="K336" s="1272"/>
      <c r="L336" s="1272"/>
      <c r="M336" s="1272"/>
      <c r="N336" s="1289"/>
      <c r="O336" s="1289"/>
      <c r="P336" s="1290"/>
      <c r="Q336" s="1291"/>
    </row>
    <row r="337" spans="3:17" s="616" customFormat="1" x14ac:dyDescent="0.25">
      <c r="C337" s="1233"/>
      <c r="D337" s="1235"/>
      <c r="E337" s="1235"/>
      <c r="F337" s="573"/>
      <c r="G337" s="1235"/>
      <c r="H337" s="592"/>
      <c r="I337" s="592"/>
      <c r="J337" s="1229"/>
      <c r="K337" s="574"/>
      <c r="L337" s="1229"/>
      <c r="M337" s="1229"/>
      <c r="N337" s="1229"/>
      <c r="O337" s="1229"/>
      <c r="P337" s="1229"/>
      <c r="Q337" s="1230"/>
    </row>
    <row r="338" spans="3:17" s="618" customFormat="1" x14ac:dyDescent="0.25">
      <c r="C338" s="552" t="s">
        <v>797</v>
      </c>
      <c r="D338" s="553" t="str">
        <f>'PLANILHA ORÇAMENTÁRIA'!C64</f>
        <v xml:space="preserve"> Boca de BQTC D= 1,00m</v>
      </c>
      <c r="E338" s="1235"/>
      <c r="F338" s="573"/>
      <c r="G338" s="1235"/>
      <c r="H338" s="592"/>
      <c r="I338" s="592"/>
      <c r="J338" s="1229"/>
      <c r="K338" s="574"/>
      <c r="L338" s="1229"/>
      <c r="M338" s="1229"/>
      <c r="N338" s="1229"/>
      <c r="O338" s="1229"/>
      <c r="P338" s="1229"/>
      <c r="Q338" s="1230"/>
    </row>
    <row r="339" spans="3:17" s="618" customFormat="1" x14ac:dyDescent="0.25">
      <c r="C339" s="1292"/>
      <c r="D339" s="1271"/>
      <c r="E339" s="562" t="s">
        <v>378</v>
      </c>
      <c r="F339" s="1272"/>
      <c r="G339" s="1272"/>
      <c r="H339" s="1272"/>
      <c r="I339" s="1272"/>
      <c r="J339" s="1272"/>
      <c r="K339" s="1272"/>
      <c r="L339" s="1272"/>
      <c r="M339" s="1272"/>
      <c r="N339" s="1272"/>
      <c r="O339" s="1343"/>
      <c r="P339" s="1273"/>
      <c r="Q339" s="1274"/>
    </row>
    <row r="340" spans="3:17" s="618" customFormat="1" x14ac:dyDescent="0.25">
      <c r="C340" s="1292"/>
      <c r="D340" s="594">
        <v>1107892</v>
      </c>
      <c r="E340" s="568" t="s">
        <v>940</v>
      </c>
      <c r="F340" s="1272"/>
      <c r="G340" s="1272"/>
      <c r="H340" s="1272"/>
      <c r="I340" s="1272"/>
      <c r="J340" s="1272"/>
      <c r="K340" s="1272"/>
      <c r="L340" s="1272"/>
      <c r="M340" s="1272"/>
      <c r="N340" s="1287" t="s">
        <v>11</v>
      </c>
      <c r="O340" s="1343">
        <v>5.9081000000000001</v>
      </c>
      <c r="P340" s="1344">
        <v>317.25700000000001</v>
      </c>
      <c r="Q340" s="1346">
        <f t="shared" ref="Q340:Q341" si="41">O340*P340</f>
        <v>1874.3860817</v>
      </c>
    </row>
    <row r="341" spans="3:17" s="618" customFormat="1" x14ac:dyDescent="0.25">
      <c r="C341" s="1292"/>
      <c r="D341" s="594">
        <v>3103302</v>
      </c>
      <c r="E341" s="568" t="s">
        <v>936</v>
      </c>
      <c r="F341" s="1272"/>
      <c r="G341" s="1272"/>
      <c r="H341" s="1272"/>
      <c r="I341" s="1272"/>
      <c r="J341" s="1272"/>
      <c r="K341" s="1272"/>
      <c r="L341" s="1272"/>
      <c r="M341" s="1272"/>
      <c r="N341" s="1287" t="s">
        <v>6</v>
      </c>
      <c r="O341" s="1343">
        <v>18.170400000000001</v>
      </c>
      <c r="P341" s="1344">
        <v>60.18</v>
      </c>
      <c r="Q341" s="1346">
        <f t="shared" si="41"/>
        <v>1093.494672</v>
      </c>
    </row>
    <row r="342" spans="3:17" s="618" customFormat="1" x14ac:dyDescent="0.25">
      <c r="C342" s="1292"/>
      <c r="D342" s="1271"/>
      <c r="E342" s="1276"/>
      <c r="F342" s="1272"/>
      <c r="G342" s="1272"/>
      <c r="H342" s="1272"/>
      <c r="I342" s="1272"/>
      <c r="J342" s="1272"/>
      <c r="K342" s="1272"/>
      <c r="L342" s="1272"/>
      <c r="M342" s="1272"/>
      <c r="N342" s="1277" t="s">
        <v>937</v>
      </c>
      <c r="O342" s="1277"/>
      <c r="P342" s="1277"/>
      <c r="Q342" s="1345">
        <f>SUM(Q340:Q341)</f>
        <v>2967.8807537000002</v>
      </c>
    </row>
    <row r="343" spans="3:17" s="618" customFormat="1" x14ac:dyDescent="0.25">
      <c r="C343" s="1292"/>
      <c r="D343" s="1271"/>
      <c r="E343" s="1276"/>
      <c r="F343" s="1272"/>
      <c r="G343" s="1272"/>
      <c r="H343" s="1272"/>
      <c r="I343" s="1272"/>
      <c r="J343" s="1272"/>
      <c r="K343" s="1272"/>
      <c r="L343" s="1272"/>
      <c r="M343" s="1272"/>
      <c r="N343" s="1282"/>
      <c r="O343" s="1286"/>
      <c r="P343" s="1286"/>
      <c r="Q343" s="1275"/>
    </row>
    <row r="344" spans="3:17" s="618" customFormat="1" x14ac:dyDescent="0.25">
      <c r="C344" s="1292"/>
      <c r="D344" s="1271"/>
      <c r="E344" s="1276"/>
      <c r="F344" s="1272"/>
      <c r="G344" s="1272"/>
      <c r="H344" s="1272"/>
      <c r="I344" s="1272"/>
      <c r="J344" s="1272"/>
      <c r="K344" s="1272"/>
      <c r="L344" s="1272"/>
      <c r="M344" s="1272"/>
      <c r="N344" s="1282"/>
      <c r="O344" s="1280" t="s">
        <v>384</v>
      </c>
      <c r="P344" s="1280"/>
      <c r="Q344" s="1346">
        <f>Q342</f>
        <v>2967.8807537000002</v>
      </c>
    </row>
    <row r="345" spans="3:17" s="618" customFormat="1" x14ac:dyDescent="0.25">
      <c r="C345" s="1292"/>
      <c r="D345" s="1271"/>
      <c r="E345" s="1276"/>
      <c r="F345" s="1272"/>
      <c r="G345" s="1272"/>
      <c r="H345" s="1272"/>
      <c r="I345" s="1272"/>
      <c r="J345" s="1272"/>
      <c r="K345" s="1272"/>
      <c r="L345" s="1272"/>
      <c r="M345" s="1272"/>
      <c r="N345" s="1282"/>
      <c r="O345" s="1286" t="s">
        <v>226</v>
      </c>
      <c r="P345" s="1281"/>
      <c r="Q345" s="1346">
        <f>0.26*Q344</f>
        <v>771.64899596200007</v>
      </c>
    </row>
    <row r="346" spans="3:17" s="618" customFormat="1" x14ac:dyDescent="0.25">
      <c r="C346" s="1292"/>
      <c r="D346" s="1271"/>
      <c r="E346" s="1276"/>
      <c r="F346" s="1272"/>
      <c r="G346" s="1272"/>
      <c r="H346" s="1272"/>
      <c r="I346" s="1272"/>
      <c r="J346" s="1272"/>
      <c r="K346" s="1272"/>
      <c r="L346" s="1272"/>
      <c r="M346" s="1272"/>
      <c r="N346" s="1288" t="s">
        <v>263</v>
      </c>
      <c r="O346" s="1288"/>
      <c r="P346" s="1352">
        <f>(Q344+Q345)</f>
        <v>3739.5297496620005</v>
      </c>
      <c r="Q346" s="1353"/>
    </row>
    <row r="347" spans="3:17" s="618" customFormat="1" x14ac:dyDescent="0.25">
      <c r="C347" s="1233"/>
      <c r="D347" s="1235"/>
      <c r="E347" s="1235"/>
      <c r="F347" s="573"/>
      <c r="G347" s="1235"/>
      <c r="H347" s="592"/>
      <c r="I347" s="592"/>
      <c r="J347" s="1229"/>
      <c r="K347" s="574"/>
      <c r="L347" s="1229"/>
      <c r="M347" s="1229"/>
      <c r="N347" s="1229"/>
      <c r="O347" s="1229"/>
      <c r="P347" s="1229"/>
      <c r="Q347" s="1230"/>
    </row>
    <row r="348" spans="3:17" s="618" customFormat="1" x14ac:dyDescent="0.25">
      <c r="C348" s="1233"/>
      <c r="D348" s="1235"/>
      <c r="E348" s="1235"/>
      <c r="F348" s="573"/>
      <c r="G348" s="1235"/>
      <c r="H348" s="592"/>
      <c r="I348" s="592"/>
      <c r="J348" s="1229"/>
      <c r="K348" s="574"/>
      <c r="L348" s="1229"/>
      <c r="M348" s="1229"/>
      <c r="N348" s="1229"/>
      <c r="O348" s="1229"/>
      <c r="P348" s="1229"/>
      <c r="Q348" s="1230"/>
    </row>
    <row r="349" spans="3:17" s="618" customFormat="1" x14ac:dyDescent="0.25">
      <c r="C349" s="552" t="s">
        <v>207</v>
      </c>
      <c r="D349" s="553" t="str">
        <f>'PLANILHA ORÇAMENTÁRIA'!C65</f>
        <v>Boca de BTTC D= 1,00m</v>
      </c>
      <c r="E349" s="1235"/>
      <c r="F349" s="573"/>
      <c r="G349" s="1235"/>
      <c r="H349" s="592"/>
      <c r="I349" s="592"/>
      <c r="J349" s="1229"/>
      <c r="K349" s="574"/>
      <c r="L349" s="1229"/>
      <c r="M349" s="1229"/>
      <c r="N349" s="1229"/>
      <c r="O349" s="1229"/>
      <c r="P349" s="1229"/>
      <c r="Q349" s="1230"/>
    </row>
    <row r="350" spans="3:17" s="618" customFormat="1" x14ac:dyDescent="0.25">
      <c r="C350" s="1292"/>
      <c r="D350" s="1271"/>
      <c r="E350" s="562" t="s">
        <v>378</v>
      </c>
      <c r="F350" s="1272"/>
      <c r="G350" s="1272"/>
      <c r="H350" s="1272"/>
      <c r="I350" s="1272"/>
      <c r="J350" s="1272"/>
      <c r="K350" s="1272"/>
      <c r="L350" s="1272"/>
      <c r="M350" s="1272"/>
      <c r="N350" s="1272"/>
      <c r="O350" s="1272"/>
      <c r="P350" s="1273"/>
      <c r="Q350" s="1274"/>
    </row>
    <row r="351" spans="3:17" s="618" customFormat="1" x14ac:dyDescent="0.25">
      <c r="C351" s="1292"/>
      <c r="D351" s="594">
        <v>1107892</v>
      </c>
      <c r="E351" s="568" t="s">
        <v>940</v>
      </c>
      <c r="F351" s="1272"/>
      <c r="G351" s="1272"/>
      <c r="H351" s="1272"/>
      <c r="I351" s="1272"/>
      <c r="J351" s="1272"/>
      <c r="K351" s="1272"/>
      <c r="L351" s="1272"/>
      <c r="M351" s="1272"/>
      <c r="N351" s="1287" t="s">
        <v>11</v>
      </c>
      <c r="O351" s="1343">
        <v>3.823</v>
      </c>
      <c r="P351" s="1344">
        <v>317.25700000000001</v>
      </c>
      <c r="Q351" s="1346">
        <f t="shared" ref="Q351:Q352" si="42">O351*P351</f>
        <v>1212.873511</v>
      </c>
    </row>
    <row r="352" spans="3:17" s="618" customFormat="1" x14ac:dyDescent="0.25">
      <c r="C352" s="1292"/>
      <c r="D352" s="594">
        <v>3103302</v>
      </c>
      <c r="E352" s="568" t="s">
        <v>936</v>
      </c>
      <c r="F352" s="1272"/>
      <c r="G352" s="1272"/>
      <c r="H352" s="1272"/>
      <c r="I352" s="1272"/>
      <c r="J352" s="1272"/>
      <c r="K352" s="1272"/>
      <c r="L352" s="1272"/>
      <c r="M352" s="1272"/>
      <c r="N352" s="1287" t="s">
        <v>6</v>
      </c>
      <c r="O352" s="1343">
        <v>13.52</v>
      </c>
      <c r="P352" s="1344">
        <v>60.18</v>
      </c>
      <c r="Q352" s="1346">
        <f t="shared" si="42"/>
        <v>813.6336</v>
      </c>
    </row>
    <row r="353" spans="3:17" s="618" customFormat="1" x14ac:dyDescent="0.25">
      <c r="C353" s="1292"/>
      <c r="D353" s="1271"/>
      <c r="E353" s="1276"/>
      <c r="F353" s="1272"/>
      <c r="G353" s="1272"/>
      <c r="H353" s="1272"/>
      <c r="I353" s="1272"/>
      <c r="J353" s="1272"/>
      <c r="K353" s="1272"/>
      <c r="L353" s="1272"/>
      <c r="M353" s="1272"/>
      <c r="N353" s="1277" t="s">
        <v>937</v>
      </c>
      <c r="O353" s="1277"/>
      <c r="P353" s="1277"/>
      <c r="Q353" s="1345">
        <f>SUM(Q351:Q352)</f>
        <v>2026.5071109999999</v>
      </c>
    </row>
    <row r="354" spans="3:17" s="618" customFormat="1" x14ac:dyDescent="0.25">
      <c r="C354" s="1292"/>
      <c r="D354" s="1271"/>
      <c r="E354" s="1276"/>
      <c r="F354" s="1272"/>
      <c r="G354" s="1272"/>
      <c r="H354" s="1272"/>
      <c r="I354" s="1272"/>
      <c r="J354" s="1272"/>
      <c r="K354" s="1272"/>
      <c r="L354" s="1272"/>
      <c r="M354" s="1272"/>
      <c r="N354" s="1282"/>
      <c r="O354" s="1286"/>
      <c r="P354" s="1286"/>
      <c r="Q354" s="1275"/>
    </row>
    <row r="355" spans="3:17" s="618" customFormat="1" x14ac:dyDescent="0.25">
      <c r="C355" s="1292"/>
      <c r="D355" s="1271"/>
      <c r="E355" s="1276"/>
      <c r="F355" s="1272"/>
      <c r="G355" s="1272"/>
      <c r="H355" s="1272"/>
      <c r="I355" s="1272"/>
      <c r="J355" s="1272"/>
      <c r="K355" s="1272"/>
      <c r="L355" s="1272"/>
      <c r="M355" s="1272"/>
      <c r="N355" s="1282"/>
      <c r="O355" s="1280" t="s">
        <v>384</v>
      </c>
      <c r="P355" s="1280"/>
      <c r="Q355" s="1346">
        <f>Q353</f>
        <v>2026.5071109999999</v>
      </c>
    </row>
    <row r="356" spans="3:17" s="618" customFormat="1" x14ac:dyDescent="0.25">
      <c r="C356" s="1292"/>
      <c r="D356" s="1271"/>
      <c r="E356" s="1276"/>
      <c r="F356" s="1272"/>
      <c r="G356" s="1272"/>
      <c r="H356" s="1272"/>
      <c r="I356" s="1272"/>
      <c r="J356" s="1272"/>
      <c r="K356" s="1272"/>
      <c r="L356" s="1272"/>
      <c r="M356" s="1272"/>
      <c r="N356" s="1282"/>
      <c r="O356" s="1286" t="s">
        <v>226</v>
      </c>
      <c r="P356" s="1281"/>
      <c r="Q356" s="1346">
        <f>0.26*Q355</f>
        <v>526.89184885999998</v>
      </c>
    </row>
    <row r="357" spans="3:17" s="618" customFormat="1" x14ac:dyDescent="0.25">
      <c r="C357" s="1292"/>
      <c r="D357" s="1271"/>
      <c r="E357" s="1276"/>
      <c r="F357" s="1272"/>
      <c r="G357" s="1272"/>
      <c r="H357" s="1272"/>
      <c r="I357" s="1272"/>
      <c r="J357" s="1272"/>
      <c r="K357" s="1272"/>
      <c r="L357" s="1272"/>
      <c r="M357" s="1272"/>
      <c r="N357" s="1288" t="s">
        <v>263</v>
      </c>
      <c r="O357" s="1288"/>
      <c r="P357" s="1352">
        <f>(Q355+Q356)</f>
        <v>2553.3989598600001</v>
      </c>
      <c r="Q357" s="1353"/>
    </row>
    <row r="358" spans="3:17" s="618" customFormat="1" x14ac:dyDescent="0.25">
      <c r="C358" s="1233"/>
      <c r="D358" s="1235"/>
      <c r="E358" s="1235"/>
      <c r="F358" s="573"/>
      <c r="G358" s="1235"/>
      <c r="H358" s="592"/>
      <c r="I358" s="592"/>
      <c r="J358" s="1229"/>
      <c r="K358" s="574"/>
      <c r="L358" s="1229"/>
      <c r="M358" s="1229"/>
      <c r="N358" s="1229"/>
      <c r="O358" s="1229"/>
      <c r="P358" s="1229"/>
      <c r="Q358" s="1230"/>
    </row>
    <row r="359" spans="3:17" s="618" customFormat="1" x14ac:dyDescent="0.25">
      <c r="C359" s="552" t="s">
        <v>207</v>
      </c>
      <c r="D359" s="553" t="str">
        <f>'PLANILHA ORÇAMENTÁRIA'!C66</f>
        <v>Boca de BDTC D= 1,00m</v>
      </c>
      <c r="E359" s="1235"/>
      <c r="F359" s="573"/>
      <c r="G359" s="1235"/>
      <c r="H359" s="592"/>
      <c r="I359" s="592"/>
      <c r="J359" s="1229"/>
      <c r="K359" s="574"/>
      <c r="L359" s="1229"/>
      <c r="M359" s="1229"/>
      <c r="N359" s="1229"/>
      <c r="O359" s="1229"/>
      <c r="P359" s="1229"/>
      <c r="Q359" s="1230"/>
    </row>
    <row r="360" spans="3:17" s="618" customFormat="1" x14ac:dyDescent="0.25">
      <c r="C360" s="1292"/>
      <c r="D360" s="1271"/>
      <c r="E360" s="562" t="s">
        <v>378</v>
      </c>
      <c r="F360" s="1272"/>
      <c r="G360" s="1272"/>
      <c r="H360" s="1272"/>
      <c r="I360" s="1272"/>
      <c r="J360" s="1272"/>
      <c r="K360" s="1272"/>
      <c r="L360" s="1272"/>
      <c r="M360" s="1272"/>
      <c r="N360" s="1272"/>
      <c r="O360" s="1272"/>
      <c r="P360" s="1273"/>
      <c r="Q360" s="1274"/>
    </row>
    <row r="361" spans="3:17" s="618" customFormat="1" x14ac:dyDescent="0.25">
      <c r="C361" s="1292"/>
      <c r="D361" s="594">
        <v>1107892</v>
      </c>
      <c r="E361" s="568" t="s">
        <v>940</v>
      </c>
      <c r="F361" s="1272"/>
      <c r="G361" s="1272"/>
      <c r="H361" s="1272"/>
      <c r="I361" s="1272"/>
      <c r="J361" s="1272"/>
      <c r="K361" s="1272"/>
      <c r="L361" s="1272"/>
      <c r="M361" s="1272"/>
      <c r="N361" s="1287" t="s">
        <v>11</v>
      </c>
      <c r="O361" s="1343">
        <v>3.0369999999999999</v>
      </c>
      <c r="P361" s="1344">
        <v>317.25700000000001</v>
      </c>
      <c r="Q361" s="1345">
        <f>O361*P361</f>
        <v>963.50950899999998</v>
      </c>
    </row>
    <row r="362" spans="3:17" s="618" customFormat="1" x14ac:dyDescent="0.25">
      <c r="C362" s="1292"/>
      <c r="D362" s="594">
        <v>3103302</v>
      </c>
      <c r="E362" s="568" t="s">
        <v>936</v>
      </c>
      <c r="F362" s="1272"/>
      <c r="G362" s="1272"/>
      <c r="H362" s="1272"/>
      <c r="I362" s="1272"/>
      <c r="J362" s="1272"/>
      <c r="K362" s="1272"/>
      <c r="L362" s="1272"/>
      <c r="M362" s="1272"/>
      <c r="N362" s="1287" t="s">
        <v>6</v>
      </c>
      <c r="O362" s="1343">
        <v>11.51</v>
      </c>
      <c r="P362" s="1344">
        <v>60.18</v>
      </c>
      <c r="Q362" s="1345">
        <f t="shared" ref="Q362" si="43">O362*P362</f>
        <v>692.67179999999996</v>
      </c>
    </row>
    <row r="363" spans="3:17" s="618" customFormat="1" x14ac:dyDescent="0.25">
      <c r="C363" s="1292"/>
      <c r="D363" s="1271"/>
      <c r="E363" s="1276"/>
      <c r="F363" s="1272"/>
      <c r="G363" s="1272"/>
      <c r="H363" s="1272"/>
      <c r="I363" s="1272"/>
      <c r="J363" s="1272"/>
      <c r="K363" s="1272"/>
      <c r="L363" s="1272"/>
      <c r="M363" s="1272"/>
      <c r="N363" s="1277" t="s">
        <v>937</v>
      </c>
      <c r="O363" s="1277"/>
      <c r="P363" s="1277"/>
      <c r="Q363" s="1345">
        <f>SUM(Q361:Q362)</f>
        <v>1656.1813090000001</v>
      </c>
    </row>
    <row r="364" spans="3:17" s="618" customFormat="1" x14ac:dyDescent="0.25">
      <c r="C364" s="1292"/>
      <c r="D364" s="1271"/>
      <c r="E364" s="1276"/>
      <c r="F364" s="1272"/>
      <c r="G364" s="1272"/>
      <c r="H364" s="1272"/>
      <c r="I364" s="1272"/>
      <c r="J364" s="1272"/>
      <c r="K364" s="1272"/>
      <c r="L364" s="1272"/>
      <c r="M364" s="1272"/>
      <c r="N364" s="1282"/>
      <c r="O364" s="1286"/>
      <c r="P364" s="1286"/>
      <c r="Q364" s="1275"/>
    </row>
    <row r="365" spans="3:17" s="618" customFormat="1" x14ac:dyDescent="0.25">
      <c r="C365" s="1292"/>
      <c r="D365" s="1271"/>
      <c r="E365" s="1276"/>
      <c r="F365" s="1272"/>
      <c r="G365" s="1272"/>
      <c r="H365" s="1272"/>
      <c r="I365" s="1272"/>
      <c r="J365" s="1272"/>
      <c r="K365" s="1272"/>
      <c r="L365" s="1272"/>
      <c r="M365" s="1272"/>
      <c r="N365" s="1282"/>
      <c r="O365" s="1280" t="s">
        <v>384</v>
      </c>
      <c r="P365" s="1280"/>
      <c r="Q365" s="1346">
        <f>Q363</f>
        <v>1656.1813090000001</v>
      </c>
    </row>
    <row r="366" spans="3:17" s="618" customFormat="1" x14ac:dyDescent="0.25">
      <c r="C366" s="1292"/>
      <c r="D366" s="1271"/>
      <c r="E366" s="1276"/>
      <c r="F366" s="1272"/>
      <c r="G366" s="1272"/>
      <c r="H366" s="1272"/>
      <c r="I366" s="1272"/>
      <c r="J366" s="1272"/>
      <c r="K366" s="1272"/>
      <c r="L366" s="1272"/>
      <c r="M366" s="1272"/>
      <c r="N366" s="1282"/>
      <c r="O366" s="1286" t="s">
        <v>226</v>
      </c>
      <c r="P366" s="1281"/>
      <c r="Q366" s="1346">
        <f>0.26*Q365</f>
        <v>430.60714034</v>
      </c>
    </row>
    <row r="367" spans="3:17" s="618" customFormat="1" x14ac:dyDescent="0.25">
      <c r="C367" s="1292"/>
      <c r="D367" s="1271"/>
      <c r="E367" s="1276"/>
      <c r="F367" s="1272"/>
      <c r="G367" s="1272"/>
      <c r="H367" s="1272"/>
      <c r="I367" s="1272"/>
      <c r="J367" s="1272"/>
      <c r="K367" s="1272"/>
      <c r="L367" s="1272"/>
      <c r="M367" s="1272"/>
      <c r="N367" s="1288" t="s">
        <v>263</v>
      </c>
      <c r="O367" s="1288"/>
      <c r="P367" s="1352">
        <f>(Q365+Q366)</f>
        <v>2086.7884493400002</v>
      </c>
      <c r="Q367" s="1353"/>
    </row>
    <row r="368" spans="3:17" s="618" customFormat="1" x14ac:dyDescent="0.25">
      <c r="C368" s="1233"/>
      <c r="D368" s="1235"/>
      <c r="E368" s="1235"/>
      <c r="F368" s="573"/>
      <c r="G368" s="1235"/>
      <c r="H368" s="592"/>
      <c r="I368" s="592"/>
      <c r="J368" s="1229"/>
      <c r="K368" s="574"/>
      <c r="L368" s="1229"/>
      <c r="M368" s="1229"/>
      <c r="N368" s="1229"/>
      <c r="O368" s="1229"/>
      <c r="P368" s="1229"/>
      <c r="Q368" s="1230"/>
    </row>
    <row r="369" spans="3:17" s="618" customFormat="1" x14ac:dyDescent="0.25">
      <c r="C369" s="552" t="s">
        <v>207</v>
      </c>
      <c r="D369" s="553" t="str">
        <f>'PLANILHA ORÇAMENTÁRIA'!C67</f>
        <v>Boca de BSTC D= 1,00m</v>
      </c>
      <c r="E369" s="1235"/>
      <c r="F369" s="573"/>
      <c r="G369" s="1235"/>
      <c r="H369" s="592"/>
      <c r="I369" s="592"/>
      <c r="J369" s="1229"/>
      <c r="K369" s="574"/>
      <c r="L369" s="1229"/>
      <c r="M369" s="1229"/>
      <c r="N369" s="1229"/>
      <c r="O369" s="1229"/>
      <c r="P369" s="1229"/>
      <c r="Q369" s="1230"/>
    </row>
    <row r="370" spans="3:17" s="618" customFormat="1" x14ac:dyDescent="0.25">
      <c r="C370" s="1292"/>
      <c r="D370" s="1271"/>
      <c r="E370" s="562" t="s">
        <v>378</v>
      </c>
      <c r="F370" s="1272"/>
      <c r="G370" s="1272"/>
      <c r="H370" s="1272"/>
      <c r="I370" s="1272"/>
      <c r="J370" s="1272"/>
      <c r="K370" s="1272"/>
      <c r="L370" s="1272"/>
      <c r="M370" s="1272"/>
      <c r="N370" s="1272"/>
      <c r="O370" s="1272"/>
      <c r="P370" s="1273"/>
      <c r="Q370" s="1274"/>
    </row>
    <row r="371" spans="3:17" s="618" customFormat="1" x14ac:dyDescent="0.25">
      <c r="C371" s="1292"/>
      <c r="D371" s="594">
        <v>1107892</v>
      </c>
      <c r="E371" s="568" t="s">
        <v>940</v>
      </c>
      <c r="F371" s="1272"/>
      <c r="G371" s="1272"/>
      <c r="H371" s="1272"/>
      <c r="I371" s="1272"/>
      <c r="J371" s="1272"/>
      <c r="K371" s="1272"/>
      <c r="L371" s="1272"/>
      <c r="M371" s="1272"/>
      <c r="N371" s="1287" t="s">
        <v>11</v>
      </c>
      <c r="O371" s="1343">
        <v>2.5139999999999998</v>
      </c>
      <c r="P371" s="1344">
        <v>317.25700000000001</v>
      </c>
      <c r="Q371" s="1345">
        <f>O371*P371</f>
        <v>797.58409799999993</v>
      </c>
    </row>
    <row r="372" spans="3:17" s="618" customFormat="1" x14ac:dyDescent="0.25">
      <c r="C372" s="1292"/>
      <c r="D372" s="594">
        <v>3103302</v>
      </c>
      <c r="E372" s="568" t="s">
        <v>936</v>
      </c>
      <c r="F372" s="1272"/>
      <c r="G372" s="1272"/>
      <c r="H372" s="1272"/>
      <c r="I372" s="1272"/>
      <c r="J372" s="1272"/>
      <c r="K372" s="1272"/>
      <c r="L372" s="1272"/>
      <c r="M372" s="1272"/>
      <c r="N372" s="1287" t="s">
        <v>6</v>
      </c>
      <c r="O372" s="1343">
        <v>9.68</v>
      </c>
      <c r="P372" s="1344">
        <v>60.18</v>
      </c>
      <c r="Q372" s="1345">
        <f t="shared" ref="Q372" si="44">O372*P372</f>
        <v>582.54239999999993</v>
      </c>
    </row>
    <row r="373" spans="3:17" s="618" customFormat="1" x14ac:dyDescent="0.25">
      <c r="C373" s="1292"/>
      <c r="D373" s="1271"/>
      <c r="E373" s="1276"/>
      <c r="F373" s="1272"/>
      <c r="G373" s="1272"/>
      <c r="H373" s="1272"/>
      <c r="I373" s="1272"/>
      <c r="J373" s="1272"/>
      <c r="K373" s="1272"/>
      <c r="L373" s="1272"/>
      <c r="M373" s="1272"/>
      <c r="N373" s="1277" t="s">
        <v>937</v>
      </c>
      <c r="O373" s="1277"/>
      <c r="P373" s="1277"/>
      <c r="Q373" s="1345">
        <f>SUM(Q371:Q372)</f>
        <v>1380.1264979999999</v>
      </c>
    </row>
    <row r="374" spans="3:17" s="618" customFormat="1" x14ac:dyDescent="0.25">
      <c r="C374" s="1292"/>
      <c r="D374" s="1271"/>
      <c r="E374" s="1276"/>
      <c r="F374" s="1272"/>
      <c r="G374" s="1272"/>
      <c r="H374" s="1272"/>
      <c r="I374" s="1272"/>
      <c r="J374" s="1272"/>
      <c r="K374" s="1272"/>
      <c r="L374" s="1272"/>
      <c r="M374" s="1272"/>
      <c r="N374" s="1282"/>
      <c r="O374" s="1286"/>
      <c r="P374" s="1286"/>
      <c r="Q374" s="1275"/>
    </row>
    <row r="375" spans="3:17" s="618" customFormat="1" x14ac:dyDescent="0.25">
      <c r="C375" s="1292"/>
      <c r="D375" s="1271"/>
      <c r="E375" s="1276"/>
      <c r="F375" s="1272"/>
      <c r="G375" s="1272"/>
      <c r="H375" s="1272"/>
      <c r="I375" s="1272"/>
      <c r="J375" s="1272"/>
      <c r="K375" s="1272"/>
      <c r="L375" s="1272"/>
      <c r="M375" s="1272"/>
      <c r="N375" s="1282"/>
      <c r="O375" s="1280" t="s">
        <v>384</v>
      </c>
      <c r="P375" s="1280"/>
      <c r="Q375" s="1346">
        <f>Q373</f>
        <v>1380.1264979999999</v>
      </c>
    </row>
    <row r="376" spans="3:17" s="618" customFormat="1" x14ac:dyDescent="0.25">
      <c r="C376" s="1292"/>
      <c r="D376" s="1271"/>
      <c r="E376" s="1276"/>
      <c r="F376" s="1272"/>
      <c r="G376" s="1272"/>
      <c r="H376" s="1272"/>
      <c r="I376" s="1272"/>
      <c r="J376" s="1272"/>
      <c r="K376" s="1272"/>
      <c r="L376" s="1272"/>
      <c r="M376" s="1272"/>
      <c r="N376" s="1282"/>
      <c r="O376" s="1286" t="s">
        <v>226</v>
      </c>
      <c r="P376" s="1281"/>
      <c r="Q376" s="1346">
        <f>0.26*Q375</f>
        <v>358.83288947999995</v>
      </c>
    </row>
    <row r="377" spans="3:17" s="618" customFormat="1" x14ac:dyDescent="0.25">
      <c r="C377" s="1292"/>
      <c r="D377" s="1271"/>
      <c r="E377" s="1276"/>
      <c r="F377" s="1272"/>
      <c r="G377" s="1272"/>
      <c r="H377" s="1272"/>
      <c r="I377" s="1272"/>
      <c r="J377" s="1272"/>
      <c r="K377" s="1272"/>
      <c r="L377" s="1272"/>
      <c r="M377" s="1272"/>
      <c r="N377" s="1288" t="s">
        <v>263</v>
      </c>
      <c r="O377" s="1288"/>
      <c r="P377" s="1352">
        <f>(Q375+Q376)</f>
        <v>1738.9593874799998</v>
      </c>
      <c r="Q377" s="1353"/>
    </row>
    <row r="378" spans="3:17" s="618" customFormat="1" x14ac:dyDescent="0.25">
      <c r="C378" s="1292"/>
      <c r="D378" s="1271"/>
      <c r="E378" s="1276"/>
      <c r="F378" s="1272"/>
      <c r="G378" s="1272"/>
      <c r="H378" s="1272"/>
      <c r="I378" s="1272"/>
      <c r="J378" s="1272"/>
      <c r="K378" s="1272"/>
      <c r="L378" s="1272"/>
      <c r="M378" s="1272"/>
      <c r="N378" s="1289"/>
      <c r="O378" s="1289"/>
      <c r="P378" s="1290"/>
      <c r="Q378" s="1291"/>
    </row>
    <row r="379" spans="3:17" s="618" customFormat="1" x14ac:dyDescent="0.25">
      <c r="C379" s="552" t="s">
        <v>207</v>
      </c>
      <c r="D379" s="553" t="str">
        <f>'PLANILHA ORÇAMENTÁRIA'!C68</f>
        <v>Boca de BDTC D= 0,80m</v>
      </c>
      <c r="E379" s="1235"/>
      <c r="F379" s="573"/>
      <c r="G379" s="1235"/>
      <c r="H379" s="592"/>
      <c r="I379" s="592"/>
      <c r="J379" s="1229"/>
      <c r="K379" s="574"/>
      <c r="L379" s="1229"/>
      <c r="M379" s="1229"/>
      <c r="N379" s="1229"/>
      <c r="O379" s="1229"/>
      <c r="P379" s="1229"/>
      <c r="Q379" s="1230"/>
    </row>
    <row r="380" spans="3:17" s="618" customFormat="1" x14ac:dyDescent="0.25">
      <c r="C380" s="1292"/>
      <c r="D380" s="1271"/>
      <c r="E380" s="562" t="s">
        <v>378</v>
      </c>
      <c r="F380" s="1272"/>
      <c r="G380" s="1272"/>
      <c r="H380" s="1272"/>
      <c r="I380" s="1272"/>
      <c r="J380" s="1272"/>
      <c r="K380" s="1272"/>
      <c r="L380" s="1272"/>
      <c r="M380" s="1272"/>
      <c r="N380" s="1272"/>
      <c r="O380" s="1272"/>
      <c r="P380" s="1273"/>
      <c r="Q380" s="1274"/>
    </row>
    <row r="381" spans="3:17" s="618" customFormat="1" x14ac:dyDescent="0.25">
      <c r="C381" s="1292"/>
      <c r="D381" s="594">
        <v>1107892</v>
      </c>
      <c r="E381" s="568" t="s">
        <v>940</v>
      </c>
      <c r="F381" s="1272"/>
      <c r="G381" s="1272"/>
      <c r="H381" s="1272"/>
      <c r="I381" s="1272"/>
      <c r="J381" s="1272"/>
      <c r="K381" s="1272"/>
      <c r="L381" s="1272"/>
      <c r="M381" s="1272"/>
      <c r="N381" s="1287" t="s">
        <v>11</v>
      </c>
      <c r="O381" s="1343">
        <v>1.9570000000000001</v>
      </c>
      <c r="P381" s="1344">
        <v>317.25700000000001</v>
      </c>
      <c r="Q381" s="1345">
        <f>O381*P381</f>
        <v>620.87194900000009</v>
      </c>
    </row>
    <row r="382" spans="3:17" s="618" customFormat="1" x14ac:dyDescent="0.25">
      <c r="C382" s="1292"/>
      <c r="D382" s="594">
        <v>3103302</v>
      </c>
      <c r="E382" s="568" t="s">
        <v>936</v>
      </c>
      <c r="F382" s="1272"/>
      <c r="G382" s="1272"/>
      <c r="H382" s="1272"/>
      <c r="I382" s="1272"/>
      <c r="J382" s="1272"/>
      <c r="K382" s="1272"/>
      <c r="L382" s="1272"/>
      <c r="M382" s="1272"/>
      <c r="N382" s="1287" t="s">
        <v>6</v>
      </c>
      <c r="O382" s="1343">
        <v>8.25</v>
      </c>
      <c r="P382" s="1344">
        <v>60.18</v>
      </c>
      <c r="Q382" s="1345">
        <f t="shared" ref="Q382" si="45">O382*P382</f>
        <v>496.48500000000001</v>
      </c>
    </row>
    <row r="383" spans="3:17" s="618" customFormat="1" x14ac:dyDescent="0.25">
      <c r="C383" s="1292"/>
      <c r="D383" s="1271"/>
      <c r="E383" s="1276"/>
      <c r="F383" s="1272"/>
      <c r="G383" s="1272"/>
      <c r="H383" s="1272"/>
      <c r="I383" s="1272"/>
      <c r="J383" s="1272"/>
      <c r="K383" s="1272"/>
      <c r="L383" s="1272"/>
      <c r="M383" s="1272"/>
      <c r="N383" s="1277" t="s">
        <v>937</v>
      </c>
      <c r="O383" s="1277"/>
      <c r="P383" s="1277"/>
      <c r="Q383" s="1345">
        <f>SUM(Q381:Q382)</f>
        <v>1117.356949</v>
      </c>
    </row>
    <row r="384" spans="3:17" s="618" customFormat="1" x14ac:dyDescent="0.25">
      <c r="C384" s="1292"/>
      <c r="D384" s="1271"/>
      <c r="E384" s="1276"/>
      <c r="F384" s="1272"/>
      <c r="G384" s="1272"/>
      <c r="H384" s="1272"/>
      <c r="I384" s="1272"/>
      <c r="J384" s="1272"/>
      <c r="K384" s="1272"/>
      <c r="L384" s="1272"/>
      <c r="M384" s="1272"/>
      <c r="N384" s="1282"/>
      <c r="O384" s="1286"/>
      <c r="P384" s="1286"/>
      <c r="Q384" s="1275"/>
    </row>
    <row r="385" spans="3:17" s="618" customFormat="1" x14ac:dyDescent="0.25">
      <c r="C385" s="1292"/>
      <c r="D385" s="1271"/>
      <c r="E385" s="1276"/>
      <c r="F385" s="1272"/>
      <c r="G385" s="1272"/>
      <c r="H385" s="1272"/>
      <c r="I385" s="1272"/>
      <c r="J385" s="1272"/>
      <c r="K385" s="1272"/>
      <c r="L385" s="1272"/>
      <c r="M385" s="1272"/>
      <c r="N385" s="1282"/>
      <c r="O385" s="1280" t="s">
        <v>384</v>
      </c>
      <c r="P385" s="1280"/>
      <c r="Q385" s="1346">
        <f>Q383</f>
        <v>1117.356949</v>
      </c>
    </row>
    <row r="386" spans="3:17" s="618" customFormat="1" x14ac:dyDescent="0.25">
      <c r="C386" s="1292"/>
      <c r="D386" s="1271"/>
      <c r="E386" s="1276"/>
      <c r="F386" s="1272"/>
      <c r="G386" s="1272"/>
      <c r="H386" s="1272"/>
      <c r="I386" s="1272"/>
      <c r="J386" s="1272"/>
      <c r="K386" s="1272"/>
      <c r="L386" s="1272"/>
      <c r="M386" s="1272"/>
      <c r="N386" s="1282"/>
      <c r="O386" s="1286" t="s">
        <v>226</v>
      </c>
      <c r="P386" s="1281"/>
      <c r="Q386" s="1346">
        <f>0.26*Q385</f>
        <v>290.51280674000003</v>
      </c>
    </row>
    <row r="387" spans="3:17" s="618" customFormat="1" x14ac:dyDescent="0.25">
      <c r="C387" s="1292"/>
      <c r="D387" s="1271"/>
      <c r="E387" s="1276"/>
      <c r="F387" s="1272"/>
      <c r="G387" s="1272"/>
      <c r="H387" s="1272"/>
      <c r="I387" s="1272"/>
      <c r="J387" s="1272"/>
      <c r="K387" s="1272"/>
      <c r="L387" s="1272"/>
      <c r="M387" s="1272"/>
      <c r="N387" s="1288" t="s">
        <v>263</v>
      </c>
      <c r="O387" s="1288"/>
      <c r="P387" s="1352">
        <f>(Q385+Q386)</f>
        <v>1407.8697557400001</v>
      </c>
      <c r="Q387" s="1353"/>
    </row>
    <row r="388" spans="3:17" s="618" customFormat="1" x14ac:dyDescent="0.25">
      <c r="C388" s="1292"/>
      <c r="D388" s="1271"/>
      <c r="E388" s="1276"/>
      <c r="F388" s="1272"/>
      <c r="G388" s="1272"/>
      <c r="H388" s="1272"/>
      <c r="I388" s="1272"/>
      <c r="J388" s="1272"/>
      <c r="K388" s="1272"/>
      <c r="L388" s="1272"/>
      <c r="M388" s="1272"/>
      <c r="N388" s="1289"/>
      <c r="O388" s="1289"/>
      <c r="P388" s="1290"/>
      <c r="Q388" s="1291"/>
    </row>
    <row r="389" spans="3:17" s="618" customFormat="1" x14ac:dyDescent="0.25">
      <c r="C389" s="552" t="s">
        <v>207</v>
      </c>
      <c r="D389" s="553" t="str">
        <f>'PLANILHA ORÇAMENTÁRIA'!C69</f>
        <v>Boca de BSTC D= 0,80m</v>
      </c>
      <c r="E389" s="1235"/>
      <c r="F389" s="573"/>
      <c r="G389" s="1235"/>
      <c r="H389" s="592"/>
      <c r="I389" s="592"/>
      <c r="J389" s="1229"/>
      <c r="K389" s="574"/>
      <c r="L389" s="1229"/>
      <c r="M389" s="1229"/>
      <c r="N389" s="1229"/>
      <c r="O389" s="1229"/>
      <c r="P389" s="1229"/>
      <c r="Q389" s="1230"/>
    </row>
    <row r="390" spans="3:17" s="618" customFormat="1" x14ac:dyDescent="0.25">
      <c r="C390" s="1292"/>
      <c r="D390" s="1271"/>
      <c r="E390" s="562" t="s">
        <v>378</v>
      </c>
      <c r="F390" s="1272"/>
      <c r="G390" s="1272"/>
      <c r="H390" s="1272"/>
      <c r="I390" s="1272"/>
      <c r="J390" s="1272"/>
      <c r="K390" s="1272"/>
      <c r="L390" s="1272"/>
      <c r="M390" s="1272"/>
      <c r="N390" s="1272"/>
      <c r="O390" s="1272"/>
      <c r="P390" s="1273"/>
      <c r="Q390" s="1274"/>
    </row>
    <row r="391" spans="3:17" s="618" customFormat="1" x14ac:dyDescent="0.25">
      <c r="C391" s="1292"/>
      <c r="D391" s="594">
        <v>1107892</v>
      </c>
      <c r="E391" s="568" t="s">
        <v>940</v>
      </c>
      <c r="F391" s="1272"/>
      <c r="G391" s="1272"/>
      <c r="H391" s="1272"/>
      <c r="I391" s="1272"/>
      <c r="J391" s="1272"/>
      <c r="K391" s="1272"/>
      <c r="L391" s="1272"/>
      <c r="M391" s="1272"/>
      <c r="N391" s="1287" t="s">
        <v>11</v>
      </c>
      <c r="O391" s="1343">
        <v>1.619</v>
      </c>
      <c r="P391" s="1344">
        <v>317.25700000000001</v>
      </c>
      <c r="Q391" s="1345">
        <f>O391*P391</f>
        <v>513.63908300000003</v>
      </c>
    </row>
    <row r="392" spans="3:17" s="618" customFormat="1" x14ac:dyDescent="0.25">
      <c r="C392" s="1292"/>
      <c r="D392" s="594">
        <v>3103302</v>
      </c>
      <c r="E392" s="568" t="s">
        <v>936</v>
      </c>
      <c r="F392" s="1272"/>
      <c r="G392" s="1272"/>
      <c r="H392" s="1272"/>
      <c r="I392" s="1272"/>
      <c r="J392" s="1272"/>
      <c r="K392" s="1272"/>
      <c r="L392" s="1272"/>
      <c r="M392" s="1272"/>
      <c r="N392" s="1287" t="s">
        <v>6</v>
      </c>
      <c r="O392" s="1343">
        <v>6.83</v>
      </c>
      <c r="P392" s="1344">
        <v>60.18</v>
      </c>
      <c r="Q392" s="1345">
        <f t="shared" ref="Q392" si="46">O392*P392</f>
        <v>411.02940000000001</v>
      </c>
    </row>
    <row r="393" spans="3:17" s="618" customFormat="1" x14ac:dyDescent="0.25">
      <c r="C393" s="1292"/>
      <c r="D393" s="1271"/>
      <c r="E393" s="1276"/>
      <c r="F393" s="1272"/>
      <c r="G393" s="1272"/>
      <c r="H393" s="1272"/>
      <c r="I393" s="1272"/>
      <c r="J393" s="1272"/>
      <c r="K393" s="1272"/>
      <c r="L393" s="1272"/>
      <c r="M393" s="1272"/>
      <c r="N393" s="1277" t="s">
        <v>937</v>
      </c>
      <c r="O393" s="1277"/>
      <c r="P393" s="1277"/>
      <c r="Q393" s="1345">
        <f>SUM(Q391:Q392)</f>
        <v>924.66848300000004</v>
      </c>
    </row>
    <row r="394" spans="3:17" s="618" customFormat="1" x14ac:dyDescent="0.25">
      <c r="C394" s="1292"/>
      <c r="D394" s="1271"/>
      <c r="E394" s="1276"/>
      <c r="F394" s="1272"/>
      <c r="G394" s="1272"/>
      <c r="H394" s="1272"/>
      <c r="I394" s="1272"/>
      <c r="J394" s="1272"/>
      <c r="K394" s="1272"/>
      <c r="L394" s="1272"/>
      <c r="M394" s="1272"/>
      <c r="N394" s="1282"/>
      <c r="O394" s="1286"/>
      <c r="P394" s="1286"/>
      <c r="Q394" s="1275"/>
    </row>
    <row r="395" spans="3:17" s="618" customFormat="1" x14ac:dyDescent="0.25">
      <c r="C395" s="1292"/>
      <c r="D395" s="1271"/>
      <c r="E395" s="1276"/>
      <c r="F395" s="1272"/>
      <c r="G395" s="1272"/>
      <c r="H395" s="1272"/>
      <c r="I395" s="1272"/>
      <c r="J395" s="1272"/>
      <c r="K395" s="1272"/>
      <c r="L395" s="1272"/>
      <c r="M395" s="1272"/>
      <c r="N395" s="1282"/>
      <c r="O395" s="1280" t="s">
        <v>384</v>
      </c>
      <c r="P395" s="1280"/>
      <c r="Q395" s="1346">
        <f>Q393</f>
        <v>924.66848300000004</v>
      </c>
    </row>
    <row r="396" spans="3:17" s="618" customFormat="1" x14ac:dyDescent="0.25">
      <c r="C396" s="1292"/>
      <c r="D396" s="1271"/>
      <c r="E396" s="1276"/>
      <c r="F396" s="1272"/>
      <c r="G396" s="1272"/>
      <c r="H396" s="1272"/>
      <c r="I396" s="1272"/>
      <c r="J396" s="1272"/>
      <c r="K396" s="1272"/>
      <c r="L396" s="1272"/>
      <c r="M396" s="1272"/>
      <c r="N396" s="1282"/>
      <c r="O396" s="1286" t="s">
        <v>226</v>
      </c>
      <c r="P396" s="1281"/>
      <c r="Q396" s="1346">
        <f>0.26*Q395</f>
        <v>240.41380558000003</v>
      </c>
    </row>
    <row r="397" spans="3:17" s="618" customFormat="1" x14ac:dyDescent="0.25">
      <c r="C397" s="1292"/>
      <c r="D397" s="1271"/>
      <c r="E397" s="1276"/>
      <c r="F397" s="1272"/>
      <c r="G397" s="1272"/>
      <c r="H397" s="1272"/>
      <c r="I397" s="1272"/>
      <c r="J397" s="1272"/>
      <c r="K397" s="1272"/>
      <c r="L397" s="1272"/>
      <c r="M397" s="1272"/>
      <c r="N397" s="1288" t="s">
        <v>263</v>
      </c>
      <c r="O397" s="1288"/>
      <c r="P397" s="1352">
        <f>(Q395+Q396)</f>
        <v>1165.0822885800001</v>
      </c>
      <c r="Q397" s="1353"/>
    </row>
    <row r="398" spans="3:17" s="618" customFormat="1" x14ac:dyDescent="0.25">
      <c r="C398" s="1292"/>
      <c r="D398" s="1271"/>
      <c r="E398" s="1276"/>
      <c r="F398" s="1272"/>
      <c r="G398" s="1272"/>
      <c r="H398" s="1272"/>
      <c r="I398" s="1272"/>
      <c r="J398" s="1272"/>
      <c r="K398" s="1272"/>
      <c r="L398" s="1272"/>
      <c r="M398" s="1272"/>
      <c r="N398" s="1289"/>
      <c r="O398" s="1289"/>
      <c r="P398" s="1290"/>
      <c r="Q398" s="1291"/>
    </row>
    <row r="399" spans="3:17" s="618" customFormat="1" x14ac:dyDescent="0.25">
      <c r="C399" s="552" t="s">
        <v>207</v>
      </c>
      <c r="D399" s="553" t="str">
        <f>'PLANILHA ORÇAMENTÁRIA'!C70</f>
        <v>Boca de BDTC D= 0,60m</v>
      </c>
      <c r="E399" s="1235"/>
      <c r="F399" s="573"/>
      <c r="G399" s="1235"/>
      <c r="H399" s="592"/>
      <c r="I399" s="592"/>
      <c r="J399" s="1229"/>
      <c r="K399" s="574"/>
      <c r="L399" s="1229"/>
      <c r="M399" s="1229"/>
      <c r="N399" s="1229"/>
      <c r="O399" s="1229"/>
      <c r="P399" s="1229"/>
      <c r="Q399" s="1230"/>
    </row>
    <row r="400" spans="3:17" s="618" customFormat="1" x14ac:dyDescent="0.25">
      <c r="C400" s="1292"/>
      <c r="D400" s="1271"/>
      <c r="E400" s="562" t="s">
        <v>378</v>
      </c>
      <c r="F400" s="1272"/>
      <c r="G400" s="1272"/>
      <c r="H400" s="1272"/>
      <c r="I400" s="1272"/>
      <c r="J400" s="1272"/>
      <c r="K400" s="1272"/>
      <c r="L400" s="1272"/>
      <c r="M400" s="1272"/>
      <c r="N400" s="1272"/>
      <c r="O400" s="1272"/>
      <c r="P400" s="1273"/>
      <c r="Q400" s="1274"/>
    </row>
    <row r="401" spans="3:17" s="618" customFormat="1" x14ac:dyDescent="0.25">
      <c r="C401" s="1292"/>
      <c r="D401" s="594">
        <v>1107892</v>
      </c>
      <c r="E401" s="568" t="s">
        <v>940</v>
      </c>
      <c r="F401" s="1272"/>
      <c r="G401" s="1272"/>
      <c r="H401" s="1272"/>
      <c r="I401" s="1272"/>
      <c r="J401" s="1272"/>
      <c r="K401" s="1272"/>
      <c r="L401" s="1272"/>
      <c r="M401" s="1272"/>
      <c r="N401" s="1287" t="s">
        <v>11</v>
      </c>
      <c r="O401" s="1343">
        <v>1.1359999999999999</v>
      </c>
      <c r="P401" s="1344">
        <v>317.25700000000001</v>
      </c>
      <c r="Q401" s="1345">
        <f>O401*P401</f>
        <v>360.40395199999995</v>
      </c>
    </row>
    <row r="402" spans="3:17" s="618" customFormat="1" x14ac:dyDescent="0.25">
      <c r="C402" s="1292"/>
      <c r="D402" s="594">
        <v>3103302</v>
      </c>
      <c r="E402" s="568" t="s">
        <v>936</v>
      </c>
      <c r="F402" s="1272"/>
      <c r="G402" s="1272"/>
      <c r="H402" s="1272"/>
      <c r="I402" s="1272"/>
      <c r="J402" s="1272"/>
      <c r="K402" s="1272"/>
      <c r="L402" s="1272"/>
      <c r="M402" s="1272"/>
      <c r="N402" s="1287" t="s">
        <v>6</v>
      </c>
      <c r="O402" s="1343">
        <v>5.0869999999999997</v>
      </c>
      <c r="P402" s="1344">
        <v>60.18</v>
      </c>
      <c r="Q402" s="1345">
        <f t="shared" ref="Q402" si="47">O402*P402</f>
        <v>306.13565999999997</v>
      </c>
    </row>
    <row r="403" spans="3:17" s="618" customFormat="1" x14ac:dyDescent="0.25">
      <c r="C403" s="1292"/>
      <c r="D403" s="1271"/>
      <c r="E403" s="1276"/>
      <c r="F403" s="1272"/>
      <c r="G403" s="1272"/>
      <c r="H403" s="1272"/>
      <c r="I403" s="1272"/>
      <c r="J403" s="1272"/>
      <c r="K403" s="1272"/>
      <c r="L403" s="1272"/>
      <c r="M403" s="1272"/>
      <c r="N403" s="1277" t="s">
        <v>937</v>
      </c>
      <c r="O403" s="1277"/>
      <c r="P403" s="1277"/>
      <c r="Q403" s="1345">
        <f>SUM(Q401:Q402)</f>
        <v>666.53961199999992</v>
      </c>
    </row>
    <row r="404" spans="3:17" s="618" customFormat="1" x14ac:dyDescent="0.25">
      <c r="C404" s="1292"/>
      <c r="D404" s="1271"/>
      <c r="E404" s="1276"/>
      <c r="F404" s="1272"/>
      <c r="G404" s="1272"/>
      <c r="H404" s="1272"/>
      <c r="I404" s="1272"/>
      <c r="J404" s="1272"/>
      <c r="K404" s="1272"/>
      <c r="L404" s="1272"/>
      <c r="M404" s="1272"/>
      <c r="N404" s="1282"/>
      <c r="O404" s="1286"/>
      <c r="P404" s="1286"/>
      <c r="Q404" s="1275"/>
    </row>
    <row r="405" spans="3:17" s="618" customFormat="1" x14ac:dyDescent="0.25">
      <c r="C405" s="1292"/>
      <c r="D405" s="1271"/>
      <c r="E405" s="1276"/>
      <c r="F405" s="1272"/>
      <c r="G405" s="1272"/>
      <c r="H405" s="1272"/>
      <c r="I405" s="1272"/>
      <c r="J405" s="1272"/>
      <c r="K405" s="1272"/>
      <c r="L405" s="1272"/>
      <c r="M405" s="1272"/>
      <c r="N405" s="1282"/>
      <c r="O405" s="1280" t="s">
        <v>384</v>
      </c>
      <c r="P405" s="1280"/>
      <c r="Q405" s="1346">
        <f>Q403</f>
        <v>666.53961199999992</v>
      </c>
    </row>
    <row r="406" spans="3:17" s="618" customFormat="1" x14ac:dyDescent="0.25">
      <c r="C406" s="1292"/>
      <c r="D406" s="1271"/>
      <c r="E406" s="1276"/>
      <c r="F406" s="1272"/>
      <c r="G406" s="1272"/>
      <c r="H406" s="1272"/>
      <c r="I406" s="1272"/>
      <c r="J406" s="1272"/>
      <c r="K406" s="1272"/>
      <c r="L406" s="1272"/>
      <c r="M406" s="1272"/>
      <c r="N406" s="1282"/>
      <c r="O406" s="1286" t="s">
        <v>226</v>
      </c>
      <c r="P406" s="1281"/>
      <c r="Q406" s="1346">
        <f>0.26*Q405</f>
        <v>173.30029911999998</v>
      </c>
    </row>
    <row r="407" spans="3:17" s="618" customFormat="1" x14ac:dyDescent="0.25">
      <c r="C407" s="1292"/>
      <c r="D407" s="1271"/>
      <c r="E407" s="1276"/>
      <c r="F407" s="1272"/>
      <c r="G407" s="1272"/>
      <c r="H407" s="1272"/>
      <c r="I407" s="1272"/>
      <c r="J407" s="1272"/>
      <c r="K407" s="1272"/>
      <c r="L407" s="1272"/>
      <c r="M407" s="1272"/>
      <c r="N407" s="1288" t="s">
        <v>263</v>
      </c>
      <c r="O407" s="1288"/>
      <c r="P407" s="1352">
        <f>(Q405+Q406)</f>
        <v>839.8399111199999</v>
      </c>
      <c r="Q407" s="1353"/>
    </row>
    <row r="408" spans="3:17" s="618" customFormat="1" x14ac:dyDescent="0.25">
      <c r="C408" s="1293" t="s">
        <v>945</v>
      </c>
      <c r="D408" s="1294"/>
      <c r="E408" s="1294"/>
      <c r="F408" s="1294"/>
      <c r="G408" s="1294"/>
      <c r="H408" s="1294"/>
      <c r="I408" s="1294"/>
      <c r="J408" s="1294"/>
      <c r="K408" s="1294"/>
      <c r="L408" s="1294"/>
      <c r="M408" s="1294"/>
      <c r="N408" s="1294"/>
      <c r="O408" s="1294"/>
      <c r="P408" s="1294"/>
      <c r="Q408" s="1295"/>
    </row>
    <row r="409" spans="3:17" s="618" customFormat="1" x14ac:dyDescent="0.25">
      <c r="C409" s="1293"/>
      <c r="D409" s="1294"/>
      <c r="E409" s="1294"/>
      <c r="F409" s="1294"/>
      <c r="G409" s="1294"/>
      <c r="H409" s="1294"/>
      <c r="I409" s="1294"/>
      <c r="J409" s="1294"/>
      <c r="K409" s="1294"/>
      <c r="L409" s="1294"/>
      <c r="M409" s="1294"/>
      <c r="N409" s="1294"/>
      <c r="O409" s="1294"/>
      <c r="P409" s="1294"/>
      <c r="Q409" s="1295"/>
    </row>
    <row r="410" spans="3:17" s="618" customFormat="1" x14ac:dyDescent="0.25">
      <c r="C410" s="1292"/>
      <c r="D410" s="1271"/>
      <c r="E410" s="1276"/>
      <c r="F410" s="1272"/>
      <c r="G410" s="1272"/>
      <c r="H410" s="1272"/>
      <c r="I410" s="1272"/>
      <c r="J410" s="1272"/>
      <c r="K410" s="1272"/>
      <c r="L410" s="1272"/>
      <c r="M410" s="1272"/>
      <c r="N410" s="1289"/>
      <c r="O410" s="1289"/>
      <c r="P410" s="1290"/>
      <c r="Q410" s="1291"/>
    </row>
    <row r="411" spans="3:17" s="618" customFormat="1" x14ac:dyDescent="0.25">
      <c r="C411" s="1292"/>
      <c r="D411" s="1271"/>
      <c r="E411" s="1276"/>
      <c r="F411" s="1272"/>
      <c r="G411" s="1272"/>
      <c r="H411" s="1272"/>
      <c r="I411" s="1272"/>
      <c r="J411" s="1272"/>
      <c r="K411" s="1272"/>
      <c r="L411" s="1272"/>
      <c r="M411" s="1272"/>
      <c r="N411" s="1289"/>
      <c r="O411" s="1289"/>
      <c r="P411" s="1290"/>
      <c r="Q411" s="1291"/>
    </row>
    <row r="412" spans="3:17" s="615" customFormat="1" x14ac:dyDescent="0.25">
      <c r="C412" s="1233"/>
      <c r="D412" s="1235"/>
      <c r="E412" s="1235"/>
      <c r="F412" s="573"/>
      <c r="G412" s="1235"/>
      <c r="H412" s="592"/>
      <c r="I412" s="592"/>
      <c r="J412" s="1229"/>
      <c r="K412" s="574"/>
      <c r="L412" s="1229"/>
      <c r="M412" s="1229"/>
      <c r="N412" s="1229"/>
      <c r="O412" s="1229"/>
      <c r="P412" s="1229"/>
      <c r="Q412" s="1230"/>
    </row>
    <row r="413" spans="3:17" x14ac:dyDescent="0.25">
      <c r="C413" s="552" t="s">
        <v>14</v>
      </c>
      <c r="D413" s="553" t="str">
        <f>'PLANILHA ORÇAMENTÁRIA'!C73</f>
        <v>Ponte de Madeira ( 6,00 x 5,00 m )</v>
      </c>
      <c r="E413" s="1229"/>
      <c r="F413" s="1229"/>
      <c r="G413" s="1229"/>
      <c r="H413" s="1229"/>
      <c r="I413" s="1229"/>
      <c r="J413" s="1229"/>
      <c r="K413" s="1229"/>
      <c r="L413" s="1229"/>
      <c r="M413" s="1229"/>
      <c r="N413" s="1229"/>
      <c r="O413" s="1229"/>
      <c r="P413" s="1229"/>
      <c r="Q413" s="1230"/>
    </row>
    <row r="414" spans="3:17" x14ac:dyDescent="0.25">
      <c r="C414" s="1234"/>
      <c r="D414" s="1235"/>
      <c r="E414" s="1235"/>
      <c r="F414" s="1235"/>
      <c r="G414" s="1235"/>
      <c r="H414" s="1235"/>
      <c r="I414" s="1235"/>
      <c r="J414" s="1235"/>
      <c r="K414" s="1235"/>
      <c r="L414" s="1235"/>
      <c r="M414" s="1235"/>
      <c r="N414" s="1235"/>
      <c r="O414" s="554" t="s">
        <v>806</v>
      </c>
      <c r="P414" s="593">
        <f>P47</f>
        <v>0</v>
      </c>
      <c r="Q414" s="556" t="s">
        <v>807</v>
      </c>
    </row>
    <row r="415" spans="3:17" x14ac:dyDescent="0.25">
      <c r="C415" s="557"/>
      <c r="D415" s="554"/>
      <c r="E415" s="1235"/>
      <c r="F415" s="1235"/>
      <c r="G415" s="1235"/>
      <c r="H415" s="1235"/>
      <c r="I415" s="1235"/>
      <c r="J415" s="1235"/>
      <c r="K415" s="1235"/>
      <c r="L415" s="1235"/>
      <c r="M415" s="1235"/>
      <c r="N415" s="1235"/>
      <c r="O415" s="1235"/>
      <c r="P415" s="1235"/>
      <c r="Q415" s="556" t="s">
        <v>808</v>
      </c>
    </row>
    <row r="416" spans="3:17" x14ac:dyDescent="0.25">
      <c r="C416" s="558"/>
      <c r="D416" s="554"/>
      <c r="E416" s="1235"/>
      <c r="F416" s="1235"/>
      <c r="G416" s="1235"/>
      <c r="H416" s="1235"/>
      <c r="I416" s="1235"/>
      <c r="J416" s="559" t="s">
        <v>809</v>
      </c>
      <c r="K416" s="1235"/>
      <c r="L416" s="1235"/>
      <c r="M416" s="1235"/>
      <c r="N416" s="1235"/>
      <c r="O416" s="1235"/>
      <c r="P416" s="1235"/>
      <c r="Q416" s="556" t="s">
        <v>823</v>
      </c>
    </row>
    <row r="417" spans="3:17" x14ac:dyDescent="0.25">
      <c r="C417" s="560"/>
      <c r="D417" s="561"/>
      <c r="E417" s="1235"/>
      <c r="F417" s="1235"/>
      <c r="G417" s="1235"/>
      <c r="H417" s="1229"/>
      <c r="I417" s="1235"/>
      <c r="J417" s="1235"/>
      <c r="K417" s="1235"/>
      <c r="L417" s="1235"/>
      <c r="M417" s="1235"/>
      <c r="N417" s="1235"/>
      <c r="O417" s="1235"/>
      <c r="P417" s="1235"/>
      <c r="Q417" s="1236"/>
    </row>
    <row r="418" spans="3:17" x14ac:dyDescent="0.25">
      <c r="C418" s="1234"/>
      <c r="D418" s="1237"/>
      <c r="E418" s="562" t="s">
        <v>871</v>
      </c>
      <c r="F418" s="1235"/>
      <c r="G418" s="1235"/>
      <c r="H418" s="1235"/>
      <c r="I418" s="1235"/>
      <c r="J418" s="1235"/>
      <c r="K418" s="1235"/>
      <c r="L418" s="1235"/>
      <c r="M418" s="1235"/>
      <c r="N418" s="563" t="s">
        <v>166</v>
      </c>
      <c r="O418" s="564" t="s">
        <v>811</v>
      </c>
      <c r="P418" s="565" t="s">
        <v>812</v>
      </c>
      <c r="Q418" s="566" t="s">
        <v>813</v>
      </c>
    </row>
    <row r="419" spans="3:17" x14ac:dyDescent="0.25">
      <c r="C419" s="567"/>
      <c r="D419" s="594">
        <v>92884</v>
      </c>
      <c r="E419" s="568" t="s">
        <v>962</v>
      </c>
      <c r="F419" s="1235"/>
      <c r="G419" s="1235"/>
      <c r="H419" s="1235"/>
      <c r="I419" s="1235"/>
      <c r="J419" s="1235"/>
      <c r="K419" s="1235"/>
      <c r="L419" s="1235"/>
      <c r="M419" s="1235"/>
      <c r="N419" s="563" t="s">
        <v>217</v>
      </c>
      <c r="O419" s="1328">
        <v>22</v>
      </c>
      <c r="P419" s="1329">
        <v>14.92</v>
      </c>
      <c r="Q419" s="1330">
        <f>O419*P419</f>
        <v>328.24</v>
      </c>
    </row>
    <row r="420" spans="3:17" s="616" customFormat="1" x14ac:dyDescent="0.25">
      <c r="C420" s="567"/>
      <c r="D420" s="594">
        <v>92441</v>
      </c>
      <c r="E420" s="568" t="s">
        <v>963</v>
      </c>
      <c r="F420" s="1235"/>
      <c r="G420" s="1235"/>
      <c r="H420" s="1235"/>
      <c r="I420" s="1235"/>
      <c r="J420" s="1235"/>
      <c r="K420" s="1235"/>
      <c r="L420" s="1235"/>
      <c r="M420" s="1235"/>
      <c r="N420" s="563" t="s">
        <v>6</v>
      </c>
      <c r="O420" s="1328">
        <v>1.4</v>
      </c>
      <c r="P420" s="1329">
        <v>44.1</v>
      </c>
      <c r="Q420" s="1330">
        <f>O420*P420</f>
        <v>61.739999999999995</v>
      </c>
    </row>
    <row r="421" spans="3:17" s="616" customFormat="1" x14ac:dyDescent="0.25">
      <c r="C421" s="567"/>
      <c r="D421" s="594">
        <v>92718</v>
      </c>
      <c r="E421" s="568" t="s">
        <v>964</v>
      </c>
      <c r="F421" s="1235"/>
      <c r="G421" s="1235"/>
      <c r="H421" s="1235"/>
      <c r="I421" s="1235"/>
      <c r="J421" s="1235"/>
      <c r="K421" s="1235"/>
      <c r="L421" s="1235"/>
      <c r="M421" s="1235"/>
      <c r="N421" s="563" t="s">
        <v>11</v>
      </c>
      <c r="O421" s="1328">
        <v>0.48</v>
      </c>
      <c r="P421" s="1329">
        <v>555.52</v>
      </c>
      <c r="Q421" s="1330">
        <f>O421*P421</f>
        <v>266.64959999999996</v>
      </c>
    </row>
    <row r="422" spans="3:17" x14ac:dyDescent="0.25">
      <c r="C422" s="567"/>
      <c r="D422" s="563">
        <v>35276</v>
      </c>
      <c r="E422" s="568" t="s">
        <v>896</v>
      </c>
      <c r="F422" s="1235"/>
      <c r="G422" s="1235"/>
      <c r="H422" s="1235"/>
      <c r="I422" s="1235"/>
      <c r="J422" s="1235"/>
      <c r="K422" s="1235"/>
      <c r="L422" s="1235"/>
      <c r="M422" s="1235"/>
      <c r="N422" s="563" t="s">
        <v>12</v>
      </c>
      <c r="O422" s="1331">
        <v>1.2</v>
      </c>
      <c r="P422" s="1332">
        <v>168.67</v>
      </c>
      <c r="Q422" s="1330">
        <f t="shared" ref="Q422:Q424" si="48">O422*P422</f>
        <v>202.40399999999997</v>
      </c>
    </row>
    <row r="423" spans="3:17" x14ac:dyDescent="0.25">
      <c r="C423" s="567"/>
      <c r="D423" s="563">
        <v>20208</v>
      </c>
      <c r="E423" s="568" t="s">
        <v>897</v>
      </c>
      <c r="F423" s="568"/>
      <c r="G423" s="568"/>
      <c r="H423" s="568"/>
      <c r="I423" s="568"/>
      <c r="J423" s="1235"/>
      <c r="K423" s="1235"/>
      <c r="L423" s="1235"/>
      <c r="M423" s="1235"/>
      <c r="N423" s="563" t="s">
        <v>12</v>
      </c>
      <c r="O423" s="1331">
        <v>1.2</v>
      </c>
      <c r="P423" s="1332">
        <v>99</v>
      </c>
      <c r="Q423" s="1330">
        <f t="shared" si="48"/>
        <v>118.8</v>
      </c>
    </row>
    <row r="424" spans="3:17" x14ac:dyDescent="0.25">
      <c r="C424" s="567"/>
      <c r="D424" s="563">
        <v>20208</v>
      </c>
      <c r="E424" s="568" t="s">
        <v>898</v>
      </c>
      <c r="F424" s="568"/>
      <c r="G424" s="568"/>
      <c r="H424" s="568"/>
      <c r="I424" s="568"/>
      <c r="J424" s="1235"/>
      <c r="K424" s="1235"/>
      <c r="L424" s="1235"/>
      <c r="M424" s="1235"/>
      <c r="N424" s="563" t="s">
        <v>12</v>
      </c>
      <c r="O424" s="1331">
        <v>1.2</v>
      </c>
      <c r="P424" s="1332">
        <v>99</v>
      </c>
      <c r="Q424" s="1330">
        <f t="shared" si="48"/>
        <v>118.8</v>
      </c>
    </row>
    <row r="425" spans="3:17" x14ac:dyDescent="0.25">
      <c r="C425" s="567"/>
      <c r="D425" s="568"/>
      <c r="E425" s="568"/>
      <c r="F425" s="1235"/>
      <c r="G425" s="1235"/>
      <c r="H425" s="1235"/>
      <c r="I425" s="1235"/>
      <c r="J425" s="1235"/>
      <c r="K425" s="1235"/>
      <c r="L425" s="1235"/>
      <c r="M425" s="1235"/>
      <c r="N425" s="563"/>
      <c r="O425" s="564"/>
      <c r="P425" s="565"/>
      <c r="Q425" s="566"/>
    </row>
    <row r="426" spans="3:17" x14ac:dyDescent="0.25">
      <c r="C426" s="1234"/>
      <c r="D426" s="1235"/>
      <c r="E426" s="1235"/>
      <c r="F426" s="595" t="s">
        <v>871</v>
      </c>
      <c r="G426" s="1239"/>
      <c r="H426" s="572"/>
      <c r="I426" s="595" t="s">
        <v>865</v>
      </c>
      <c r="J426" s="1229"/>
      <c r="K426" s="572" t="s">
        <v>813</v>
      </c>
      <c r="L426" s="572"/>
      <c r="M426" s="1239"/>
      <c r="N426" s="1229"/>
      <c r="O426" s="1229"/>
      <c r="P426" s="1229"/>
      <c r="Q426" s="1236"/>
    </row>
    <row r="427" spans="3:17" x14ac:dyDescent="0.25">
      <c r="C427" s="1234"/>
      <c r="D427" s="554" t="s">
        <v>822</v>
      </c>
      <c r="E427" s="1235"/>
      <c r="F427" s="1235"/>
      <c r="G427" s="1235"/>
      <c r="H427" s="1235"/>
      <c r="I427" s="1235"/>
      <c r="J427" s="1229"/>
      <c r="K427" s="573"/>
      <c r="L427" s="1235"/>
      <c r="M427" s="1235"/>
      <c r="N427" s="1229"/>
      <c r="O427" s="1229"/>
      <c r="P427" s="1229"/>
      <c r="Q427" s="1236"/>
    </row>
    <row r="428" spans="3:17" x14ac:dyDescent="0.25">
      <c r="C428" s="1234"/>
      <c r="D428" s="1235"/>
      <c r="E428" s="1235"/>
      <c r="F428" s="573">
        <f>SUM(Q419:Q424)</f>
        <v>1096.6335999999999</v>
      </c>
      <c r="G428" s="1235"/>
      <c r="H428" s="592"/>
      <c r="I428" s="592"/>
      <c r="J428" s="1229"/>
      <c r="K428" s="574">
        <f>SUM(F428:I428)</f>
        <v>1096.6335999999999</v>
      </c>
      <c r="L428" s="592"/>
      <c r="M428" s="1235"/>
      <c r="N428" s="1229"/>
      <c r="O428" s="1229"/>
      <c r="P428" s="1229"/>
      <c r="Q428" s="1241"/>
    </row>
    <row r="429" spans="3:17" x14ac:dyDescent="0.25">
      <c r="C429" s="601"/>
      <c r="D429" s="600"/>
      <c r="E429" s="600"/>
      <c r="F429" s="1296"/>
      <c r="G429" s="1296"/>
      <c r="H429" s="1296"/>
      <c r="I429" s="1296"/>
      <c r="J429" s="1296"/>
      <c r="K429" s="1296"/>
      <c r="L429" s="1296"/>
      <c r="M429" s="1296"/>
      <c r="N429" s="596"/>
      <c r="O429" s="597"/>
      <c r="P429" s="598"/>
      <c r="Q429" s="599"/>
    </row>
    <row r="430" spans="3:17" s="34" customFormat="1" x14ac:dyDescent="0.25">
      <c r="C430" s="552" t="s">
        <v>15</v>
      </c>
      <c r="D430" s="553" t="str">
        <f>'PLANILHA ORÇAMENTÁRIA'!C74</f>
        <v>Alas e Testas de Caixão de Aterro para Ponte de Madeira</v>
      </c>
      <c r="E430" s="600"/>
      <c r="F430" s="1296"/>
      <c r="G430" s="1296"/>
      <c r="H430" s="1296"/>
      <c r="I430" s="1296"/>
      <c r="J430" s="1296"/>
      <c r="K430" s="1296"/>
      <c r="L430" s="1296"/>
      <c r="M430" s="1296"/>
      <c r="N430" s="596"/>
      <c r="O430" s="597"/>
      <c r="P430" s="598"/>
      <c r="Q430" s="599"/>
    </row>
    <row r="431" spans="3:17" s="34" customFormat="1" x14ac:dyDescent="0.25">
      <c r="C431" s="601"/>
      <c r="D431" s="600"/>
      <c r="E431" s="600"/>
      <c r="F431" s="1296"/>
      <c r="G431" s="1296"/>
      <c r="H431" s="1296"/>
      <c r="I431" s="1296"/>
      <c r="J431" s="1296"/>
      <c r="K431" s="1296"/>
      <c r="L431" s="1296"/>
      <c r="M431" s="1296"/>
      <c r="N431" s="596"/>
      <c r="O431" s="597"/>
      <c r="P431" s="598"/>
      <c r="Q431" s="599"/>
    </row>
    <row r="432" spans="3:17" s="34" customFormat="1" x14ac:dyDescent="0.25">
      <c r="C432" s="601"/>
      <c r="D432" s="600"/>
      <c r="E432" s="600"/>
      <c r="F432" s="1296"/>
      <c r="G432" s="1296"/>
      <c r="H432" s="1296"/>
      <c r="I432" s="1296"/>
      <c r="J432" s="1296"/>
      <c r="K432" s="1296"/>
      <c r="L432" s="1296"/>
      <c r="M432" s="1296"/>
      <c r="N432" s="596"/>
      <c r="O432" s="597"/>
      <c r="P432" s="598"/>
      <c r="Q432" s="599"/>
    </row>
    <row r="433" spans="3:17" s="34" customFormat="1" x14ac:dyDescent="0.25">
      <c r="C433" s="601"/>
      <c r="D433" s="600"/>
      <c r="E433" s="600"/>
      <c r="F433" s="1296"/>
      <c r="G433" s="1296"/>
      <c r="H433" s="1296"/>
      <c r="I433" s="1296"/>
      <c r="J433" s="1297" t="str">
        <f>J416</f>
        <v>COMPOSIÇÃO ANALÍTICA</v>
      </c>
      <c r="K433" s="1296"/>
      <c r="L433" s="1296"/>
      <c r="M433" s="1296"/>
      <c r="N433" s="596"/>
      <c r="O433" s="597"/>
      <c r="P433" s="598"/>
      <c r="Q433" s="599"/>
    </row>
    <row r="434" spans="3:17" x14ac:dyDescent="0.25">
      <c r="C434" s="1298"/>
      <c r="D434" s="1296"/>
      <c r="E434" s="1296"/>
      <c r="F434" s="602"/>
      <c r="G434" s="1299"/>
      <c r="H434" s="603"/>
      <c r="I434" s="1299"/>
      <c r="J434" s="603"/>
      <c r="K434" s="1299"/>
      <c r="L434" s="603"/>
      <c r="M434" s="1299"/>
      <c r="N434" s="604"/>
      <c r="O434" s="1300"/>
      <c r="P434" s="1300"/>
      <c r="Q434" s="1301"/>
    </row>
    <row r="435" spans="3:17" x14ac:dyDescent="0.25">
      <c r="C435" s="1234"/>
      <c r="D435" s="1237"/>
      <c r="E435" s="562" t="s">
        <v>871</v>
      </c>
      <c r="F435" s="1235"/>
      <c r="G435" s="1235"/>
      <c r="H435" s="1235"/>
      <c r="I435" s="1235"/>
      <c r="J435" s="1235"/>
      <c r="K435" s="1235"/>
      <c r="L435" s="1235"/>
      <c r="M435" s="1235"/>
      <c r="N435" s="563" t="s">
        <v>166</v>
      </c>
      <c r="O435" s="564" t="s">
        <v>811</v>
      </c>
      <c r="P435" s="565" t="s">
        <v>812</v>
      </c>
      <c r="Q435" s="566" t="s">
        <v>813</v>
      </c>
    </row>
    <row r="436" spans="3:17" ht="13.5" customHeight="1" x14ac:dyDescent="0.25">
      <c r="C436" s="567"/>
      <c r="D436" s="594">
        <v>92441</v>
      </c>
      <c r="E436" s="614" t="s">
        <v>899</v>
      </c>
      <c r="F436" s="1235"/>
      <c r="G436" s="1235"/>
      <c r="H436" s="1235"/>
      <c r="I436" s="1235"/>
      <c r="J436" s="1235"/>
      <c r="K436" s="1235"/>
      <c r="L436" s="1235"/>
      <c r="M436" s="1235"/>
      <c r="N436" s="563" t="s">
        <v>6</v>
      </c>
      <c r="O436" s="1360">
        <v>1.4</v>
      </c>
      <c r="P436" s="1361">
        <v>44.1</v>
      </c>
      <c r="Q436" s="1330">
        <f>O436*P436</f>
        <v>61.739999999999995</v>
      </c>
    </row>
    <row r="437" spans="3:17" ht="15" customHeight="1" x14ac:dyDescent="0.25">
      <c r="C437" s="567"/>
      <c r="D437" s="594">
        <v>102487</v>
      </c>
      <c r="E437" s="568" t="s">
        <v>900</v>
      </c>
      <c r="F437" s="1235"/>
      <c r="G437" s="1235"/>
      <c r="H437" s="1235"/>
      <c r="I437" s="1235"/>
      <c r="J437" s="1235"/>
      <c r="K437" s="1235"/>
      <c r="L437" s="1235"/>
      <c r="M437" s="1235"/>
      <c r="N437" s="563" t="s">
        <v>11</v>
      </c>
      <c r="O437" s="1360">
        <v>0.65800000000000003</v>
      </c>
      <c r="P437" s="1329">
        <v>390.05</v>
      </c>
      <c r="Q437" s="1330">
        <f>O437*P437</f>
        <v>256.65290000000005</v>
      </c>
    </row>
    <row r="438" spans="3:17" s="618" customFormat="1" ht="15" customHeight="1" x14ac:dyDescent="0.25">
      <c r="C438" s="567"/>
      <c r="D438" s="594"/>
      <c r="E438" s="568"/>
      <c r="F438" s="1235"/>
      <c r="G438" s="1235"/>
      <c r="H438" s="1235"/>
      <c r="I438" s="1235"/>
      <c r="J438" s="1235"/>
      <c r="K438" s="1235"/>
      <c r="L438" s="1235"/>
      <c r="M438" s="1235"/>
      <c r="N438" s="563"/>
      <c r="O438" s="619"/>
      <c r="P438" s="1255"/>
      <c r="Q438" s="566"/>
    </row>
    <row r="439" spans="3:17" ht="18" customHeight="1" x14ac:dyDescent="0.25">
      <c r="C439" s="605"/>
      <c r="D439" s="1302"/>
      <c r="E439" s="1302"/>
      <c r="F439" s="1303"/>
      <c r="G439" s="1266"/>
      <c r="H439" s="1266"/>
      <c r="I439" s="1266"/>
      <c r="J439" s="1266"/>
      <c r="K439" s="1266"/>
      <c r="L439" s="1266"/>
      <c r="M439" s="1266"/>
      <c r="N439" s="1263"/>
      <c r="O439" s="1304"/>
      <c r="P439" s="1304"/>
      <c r="Q439" s="1305"/>
    </row>
    <row r="440" spans="3:17" x14ac:dyDescent="0.25">
      <c r="C440" s="1234"/>
      <c r="D440" s="1235"/>
      <c r="E440" s="1235"/>
      <c r="F440" s="595" t="s">
        <v>871</v>
      </c>
      <c r="G440" s="1239"/>
      <c r="H440" s="572"/>
      <c r="I440" s="595" t="s">
        <v>865</v>
      </c>
      <c r="J440" s="1229"/>
      <c r="K440" s="572" t="s">
        <v>813</v>
      </c>
      <c r="L440" s="1306"/>
      <c r="M440" s="1306"/>
      <c r="N440" s="1307"/>
      <c r="O440" s="1307"/>
      <c r="P440" s="1262"/>
      <c r="Q440" s="1305"/>
    </row>
    <row r="441" spans="3:17" x14ac:dyDescent="0.25">
      <c r="C441" s="1234"/>
      <c r="D441" s="554" t="s">
        <v>822</v>
      </c>
      <c r="E441" s="1235"/>
      <c r="F441" s="1235"/>
      <c r="G441" s="1235"/>
      <c r="H441" s="1235"/>
      <c r="I441" s="1235"/>
      <c r="J441" s="1229"/>
      <c r="K441" s="573"/>
      <c r="L441" s="1266"/>
      <c r="M441" s="1266"/>
      <c r="N441" s="1263"/>
      <c r="O441" s="1261"/>
      <c r="P441" s="1261"/>
      <c r="Q441" s="1305"/>
    </row>
    <row r="442" spans="3:17" x14ac:dyDescent="0.25">
      <c r="C442" s="1234"/>
      <c r="D442" s="1235"/>
      <c r="E442" s="1235"/>
      <c r="F442" s="573">
        <f>SUM(Q436:Q437)</f>
        <v>318.39290000000005</v>
      </c>
      <c r="G442" s="1235"/>
      <c r="H442" s="592"/>
      <c r="I442" s="592"/>
      <c r="J442" s="1229"/>
      <c r="K442" s="574">
        <f>SUM(F442:I442)</f>
        <v>318.39290000000005</v>
      </c>
      <c r="L442" s="1266"/>
      <c r="M442" s="1266"/>
      <c r="N442" s="1263"/>
      <c r="O442" s="1307"/>
      <c r="P442" s="1307"/>
      <c r="Q442" s="1305"/>
    </row>
    <row r="443" spans="3:17" x14ac:dyDescent="0.25">
      <c r="C443" s="606"/>
      <c r="D443" s="1302"/>
      <c r="E443" s="1302"/>
      <c r="F443" s="1303"/>
      <c r="G443" s="1266"/>
      <c r="H443" s="1266"/>
      <c r="I443" s="1266"/>
      <c r="J443" s="1266"/>
      <c r="K443" s="1266"/>
      <c r="L443" s="1266"/>
      <c r="M443" s="1266"/>
      <c r="N443" s="1263"/>
      <c r="O443" s="1269"/>
      <c r="P443" s="1262"/>
      <c r="Q443" s="1305"/>
    </row>
    <row r="444" spans="3:17" x14ac:dyDescent="0.25">
      <c r="C444" s="607"/>
      <c r="D444" s="1302"/>
      <c r="E444" s="1302"/>
      <c r="F444" s="1308"/>
      <c r="G444" s="1266"/>
      <c r="H444" s="1266"/>
      <c r="I444" s="1266"/>
      <c r="J444" s="1266"/>
      <c r="K444" s="1266"/>
      <c r="L444" s="1266"/>
      <c r="M444" s="1266"/>
      <c r="N444" s="1263"/>
      <c r="O444" s="1309"/>
      <c r="P444" s="1310"/>
      <c r="Q444" s="1305"/>
    </row>
    <row r="445" spans="3:17" x14ac:dyDescent="0.25">
      <c r="C445" s="1311"/>
      <c r="D445" s="1302"/>
      <c r="E445" s="1302"/>
      <c r="F445" s="1308"/>
      <c r="G445" s="1266"/>
      <c r="H445" s="1266"/>
      <c r="I445" s="1266"/>
      <c r="J445" s="1266"/>
      <c r="K445" s="1266"/>
      <c r="L445" s="1266"/>
      <c r="M445" s="1266"/>
      <c r="N445" s="1263"/>
      <c r="O445" s="1309"/>
      <c r="P445" s="1310"/>
      <c r="Q445" s="1305"/>
    </row>
    <row r="446" spans="3:17" x14ac:dyDescent="0.25">
      <c r="C446" s="1312"/>
      <c r="D446" s="1302"/>
      <c r="E446" s="1302"/>
      <c r="F446" s="1303"/>
      <c r="G446" s="1266"/>
      <c r="H446" s="1266"/>
      <c r="I446" s="1266"/>
      <c r="J446" s="1266"/>
      <c r="K446" s="1266"/>
      <c r="L446" s="1266"/>
      <c r="M446" s="1266"/>
      <c r="N446" s="1263"/>
      <c r="O446" s="1261"/>
      <c r="P446" s="1261"/>
      <c r="Q446" s="1305"/>
    </row>
    <row r="447" spans="3:17" ht="15.75" thickBot="1" x14ac:dyDescent="0.3">
      <c r="C447" s="1313"/>
      <c r="D447" s="1314"/>
      <c r="E447" s="1314"/>
      <c r="F447" s="1315"/>
      <c r="G447" s="1316"/>
      <c r="H447" s="1316"/>
      <c r="I447" s="1316"/>
      <c r="J447" s="1316"/>
      <c r="K447" s="1316"/>
      <c r="L447" s="1316"/>
      <c r="M447" s="1316"/>
      <c r="N447" s="1317"/>
      <c r="O447" s="1317"/>
      <c r="P447" s="1318"/>
      <c r="Q447" s="1319"/>
    </row>
  </sheetData>
  <sheetProtection algorithmName="SHA-512" hashValue="X/bmHAs1Bgrr5xslXUCGAXuCITLEx6tlYhp35pThCP9sfaD73O5k5TUL79i54K3Vsj73OFS/Sb7QrdEL2hfE0w==" saltValue="FT0nRhiJDTMoh1FM60DrmA==" spinCount="100000" sheet="1" objects="1" scenarios="1"/>
  <mergeCells count="235">
    <mergeCell ref="N85:P85"/>
    <mergeCell ref="N86:O86"/>
    <mergeCell ref="O87:P87"/>
    <mergeCell ref="O88:P88"/>
    <mergeCell ref="O89:P89"/>
    <mergeCell ref="O107:P107"/>
    <mergeCell ref="O108:P108"/>
    <mergeCell ref="O109:P109"/>
    <mergeCell ref="N110:O110"/>
    <mergeCell ref="P110:Q110"/>
    <mergeCell ref="N100:P100"/>
    <mergeCell ref="N103:P103"/>
    <mergeCell ref="N104:O104"/>
    <mergeCell ref="O105:P105"/>
    <mergeCell ref="O106:P106"/>
    <mergeCell ref="O136:P136"/>
    <mergeCell ref="C132:P132"/>
    <mergeCell ref="C133:E133"/>
    <mergeCell ref="M133:N133"/>
    <mergeCell ref="O133:P133"/>
    <mergeCell ref="E134:I134"/>
    <mergeCell ref="M134:N134"/>
    <mergeCell ref="O134:P134"/>
    <mergeCell ref="O90:P90"/>
    <mergeCell ref="O91:P91"/>
    <mergeCell ref="N92:O92"/>
    <mergeCell ref="P92:Q92"/>
    <mergeCell ref="C3:E8"/>
    <mergeCell ref="C11:Q11"/>
    <mergeCell ref="E54:I54"/>
    <mergeCell ref="M54:N54"/>
    <mergeCell ref="O54:P54"/>
    <mergeCell ref="E48:I48"/>
    <mergeCell ref="M48:N48"/>
    <mergeCell ref="O48:P48"/>
    <mergeCell ref="E46:I46"/>
    <mergeCell ref="M46:N46"/>
    <mergeCell ref="O46:P46"/>
    <mergeCell ref="E47:I47"/>
    <mergeCell ref="M47:N47"/>
    <mergeCell ref="O47:P47"/>
    <mergeCell ref="E45:I45"/>
    <mergeCell ref="M45:N45"/>
    <mergeCell ref="O45:P45"/>
    <mergeCell ref="E43:H43"/>
    <mergeCell ref="M43:N43"/>
    <mergeCell ref="O43:P43"/>
    <mergeCell ref="C44:E44"/>
    <mergeCell ref="M44:N44"/>
    <mergeCell ref="O44:P44"/>
    <mergeCell ref="E49:I49"/>
    <mergeCell ref="O184:P184"/>
    <mergeCell ref="O185:P185"/>
    <mergeCell ref="O186:P186"/>
    <mergeCell ref="F188:M188"/>
    <mergeCell ref="N190:P190"/>
    <mergeCell ref="E55:I55"/>
    <mergeCell ref="M55:N55"/>
    <mergeCell ref="O55:P55"/>
    <mergeCell ref="E129:I129"/>
    <mergeCell ref="M129:N129"/>
    <mergeCell ref="O129:P129"/>
    <mergeCell ref="E130:I130"/>
    <mergeCell ref="M130:N130"/>
    <mergeCell ref="O130:P130"/>
    <mergeCell ref="M127:N127"/>
    <mergeCell ref="O127:P127"/>
    <mergeCell ref="E128:I128"/>
    <mergeCell ref="M128:N128"/>
    <mergeCell ref="O128:P128"/>
    <mergeCell ref="C137:P137"/>
    <mergeCell ref="C138:P138"/>
    <mergeCell ref="E135:I135"/>
    <mergeCell ref="M135:N135"/>
    <mergeCell ref="M136:N136"/>
    <mergeCell ref="N447:O447"/>
    <mergeCell ref="P447:Q447"/>
    <mergeCell ref="O439:P439"/>
    <mergeCell ref="N440:O440"/>
    <mergeCell ref="E50:I50"/>
    <mergeCell ref="M50:N50"/>
    <mergeCell ref="O50:P50"/>
    <mergeCell ref="C52:P52"/>
    <mergeCell ref="C53:E53"/>
    <mergeCell ref="M53:N53"/>
    <mergeCell ref="O53:P53"/>
    <mergeCell ref="E123:H123"/>
    <mergeCell ref="M123:N123"/>
    <mergeCell ref="O123:P123"/>
    <mergeCell ref="C124:E124"/>
    <mergeCell ref="M124:N124"/>
    <mergeCell ref="N154:O154"/>
    <mergeCell ref="O441:P441"/>
    <mergeCell ref="O442:P442"/>
    <mergeCell ref="O446:P446"/>
    <mergeCell ref="E56:I56"/>
    <mergeCell ref="M56:N56"/>
    <mergeCell ref="O56:P56"/>
    <mergeCell ref="C57:P57"/>
    <mergeCell ref="M49:N49"/>
    <mergeCell ref="O49:P49"/>
    <mergeCell ref="O135:P135"/>
    <mergeCell ref="E136:I136"/>
    <mergeCell ref="N196:P196"/>
    <mergeCell ref="O198:P198"/>
    <mergeCell ref="N200:O200"/>
    <mergeCell ref="P200:Q200"/>
    <mergeCell ref="N205:P205"/>
    <mergeCell ref="N178:P178"/>
    <mergeCell ref="N181:P181"/>
    <mergeCell ref="F182:M182"/>
    <mergeCell ref="N182:O182"/>
    <mergeCell ref="N77:Q78"/>
    <mergeCell ref="C58:P58"/>
    <mergeCell ref="O124:P124"/>
    <mergeCell ref="E125:I125"/>
    <mergeCell ref="M125:N125"/>
    <mergeCell ref="O125:P125"/>
    <mergeCell ref="E126:I126"/>
    <mergeCell ref="M126:N126"/>
    <mergeCell ref="O126:P126"/>
    <mergeCell ref="E127:I127"/>
    <mergeCell ref="O183:P183"/>
    <mergeCell ref="N208:P208"/>
    <mergeCell ref="F209:M209"/>
    <mergeCell ref="N209:O209"/>
    <mergeCell ref="O210:P210"/>
    <mergeCell ref="O211:P211"/>
    <mergeCell ref="O212:P212"/>
    <mergeCell ref="O213:P213"/>
    <mergeCell ref="F215:M215"/>
    <mergeCell ref="N217:P217"/>
    <mergeCell ref="N223:P223"/>
    <mergeCell ref="O225:P225"/>
    <mergeCell ref="N227:O227"/>
    <mergeCell ref="P227:Q227"/>
    <mergeCell ref="N232:P232"/>
    <mergeCell ref="N235:P235"/>
    <mergeCell ref="F236:M236"/>
    <mergeCell ref="N236:O236"/>
    <mergeCell ref="O237:P237"/>
    <mergeCell ref="O238:P238"/>
    <mergeCell ref="O239:P239"/>
    <mergeCell ref="O240:P240"/>
    <mergeCell ref="F242:M242"/>
    <mergeCell ref="N244:P244"/>
    <mergeCell ref="N250:P250"/>
    <mergeCell ref="O252:P252"/>
    <mergeCell ref="N254:O254"/>
    <mergeCell ref="P254:Q254"/>
    <mergeCell ref="N259:P259"/>
    <mergeCell ref="N262:P262"/>
    <mergeCell ref="F263:M263"/>
    <mergeCell ref="N263:O263"/>
    <mergeCell ref="O264:P264"/>
    <mergeCell ref="O265:P265"/>
    <mergeCell ref="O266:P266"/>
    <mergeCell ref="O267:P267"/>
    <mergeCell ref="F269:M269"/>
    <mergeCell ref="N271:P271"/>
    <mergeCell ref="N277:P277"/>
    <mergeCell ref="O279:P279"/>
    <mergeCell ref="N281:O281"/>
    <mergeCell ref="P281:Q281"/>
    <mergeCell ref="N286:P286"/>
    <mergeCell ref="N289:P289"/>
    <mergeCell ref="F290:M290"/>
    <mergeCell ref="N290:O290"/>
    <mergeCell ref="O291:P291"/>
    <mergeCell ref="O292:P292"/>
    <mergeCell ref="O293:P293"/>
    <mergeCell ref="O294:P294"/>
    <mergeCell ref="F296:M296"/>
    <mergeCell ref="N298:P298"/>
    <mergeCell ref="N304:P304"/>
    <mergeCell ref="O306:P306"/>
    <mergeCell ref="N308:O308"/>
    <mergeCell ref="P308:Q308"/>
    <mergeCell ref="N313:P313"/>
    <mergeCell ref="N316:P316"/>
    <mergeCell ref="F317:M317"/>
    <mergeCell ref="N317:O317"/>
    <mergeCell ref="N353:P353"/>
    <mergeCell ref="O355:P355"/>
    <mergeCell ref="N357:O357"/>
    <mergeCell ref="P357:Q357"/>
    <mergeCell ref="O318:P318"/>
    <mergeCell ref="O319:P319"/>
    <mergeCell ref="O320:P320"/>
    <mergeCell ref="O321:P321"/>
    <mergeCell ref="F323:M323"/>
    <mergeCell ref="N325:P325"/>
    <mergeCell ref="N331:P331"/>
    <mergeCell ref="O333:P333"/>
    <mergeCell ref="N335:O335"/>
    <mergeCell ref="P335:Q335"/>
    <mergeCell ref="N393:P393"/>
    <mergeCell ref="O395:P395"/>
    <mergeCell ref="N397:O397"/>
    <mergeCell ref="P397:Q397"/>
    <mergeCell ref="N403:P403"/>
    <mergeCell ref="O405:P405"/>
    <mergeCell ref="N363:P363"/>
    <mergeCell ref="O365:P365"/>
    <mergeCell ref="N367:O367"/>
    <mergeCell ref="P367:Q367"/>
    <mergeCell ref="N373:P373"/>
    <mergeCell ref="O375:P375"/>
    <mergeCell ref="N377:O377"/>
    <mergeCell ref="P377:Q377"/>
    <mergeCell ref="N383:P383"/>
    <mergeCell ref="N31:Q32"/>
    <mergeCell ref="C408:Q409"/>
    <mergeCell ref="N407:O407"/>
    <mergeCell ref="P407:Q407"/>
    <mergeCell ref="N342:P342"/>
    <mergeCell ref="O344:P344"/>
    <mergeCell ref="N346:O346"/>
    <mergeCell ref="P346:Q346"/>
    <mergeCell ref="N150:P150"/>
    <mergeCell ref="N153:P153"/>
    <mergeCell ref="F154:M154"/>
    <mergeCell ref="O155:P155"/>
    <mergeCell ref="O156:P156"/>
    <mergeCell ref="O157:P157"/>
    <mergeCell ref="O158:P158"/>
    <mergeCell ref="F160:M160"/>
    <mergeCell ref="N162:P162"/>
    <mergeCell ref="N168:P168"/>
    <mergeCell ref="O170:P170"/>
    <mergeCell ref="N172:O172"/>
    <mergeCell ref="P172:Q172"/>
    <mergeCell ref="O385:P385"/>
    <mergeCell ref="N387:O387"/>
    <mergeCell ref="P387:Q387"/>
  </mergeCells>
  <conditionalFormatting sqref="N443:O447">
    <cfRule type="expression" dxfId="313" priority="129" stopIfTrue="1">
      <formula>AND($B443&lt;&gt;"COMPOSICAO",$B443&lt;&gt;"INSUMO",$B443&lt;&gt;"")</formula>
    </cfRule>
    <cfRule type="expression" dxfId="312" priority="130" stopIfTrue="1">
      <formula>AND(OR($B443="COMPOSICAO",$B443="INSUMO",$B443&lt;&gt;""),$B443&lt;&gt;"")</formula>
    </cfRule>
  </conditionalFormatting>
  <conditionalFormatting sqref="N87:O87 N90:O91 N88:N89">
    <cfRule type="expression" dxfId="311" priority="127" stopIfTrue="1">
      <formula>AND($B87&lt;&gt;"COMPOSICAO",$B87&lt;&gt;"INSUMO",$B87&lt;&gt;"")</formula>
    </cfRule>
    <cfRule type="expression" dxfId="310" priority="128" stopIfTrue="1">
      <formula>AND(OR($B87="COMPOSICAO",$B87="INSUMO",$B87&lt;&gt;""),$B87&lt;&gt;"")</formula>
    </cfRule>
  </conditionalFormatting>
  <conditionalFormatting sqref="O88:O89">
    <cfRule type="expression" dxfId="309" priority="125" stopIfTrue="1">
      <formula>AND($B88&lt;&gt;"COMPOSICAO",$B88&lt;&gt;"INSUMO",$B88&lt;&gt;"")</formula>
    </cfRule>
    <cfRule type="expression" dxfId="308" priority="126" stopIfTrue="1">
      <formula>AND(OR($B88="COMPOSICAO",$B88="INSUMO",$B88&lt;&gt;""),$B88&lt;&gt;"")</formula>
    </cfRule>
  </conditionalFormatting>
  <conditionalFormatting sqref="N102:O102 N105:O109">
    <cfRule type="expression" dxfId="307" priority="115" stopIfTrue="1">
      <formula>AND($B102&lt;&gt;"COMPOSICAO",$B102&lt;&gt;"INSUMO",$B102&lt;&gt;"")</formula>
    </cfRule>
    <cfRule type="expression" dxfId="306" priority="116" stopIfTrue="1">
      <formula>AND(OR($B102="COMPOSICAO",$B102="INSUMO",$B102&lt;&gt;""),$B102&lt;&gt;"")</formula>
    </cfRule>
  </conditionalFormatting>
  <conditionalFormatting sqref="N197:O197 D178:E178 D196:E196 D176 D192">
    <cfRule type="expression" dxfId="305" priority="113" stopIfTrue="1">
      <formula>AND($B176&lt;&gt;"COMPOSICAO",$B176&lt;&gt;"INSUMO",$B176&lt;&gt;"")</formula>
    </cfRule>
    <cfRule type="expression" dxfId="304" priority="114" stopIfTrue="1">
      <formula>AND(OR($B176="COMPOSICAO",$B176="INSUMO",$B176&lt;&gt;""),$B176&lt;&gt;"")</formula>
    </cfRule>
  </conditionalFormatting>
  <conditionalFormatting sqref="N188:O189">
    <cfRule type="expression" dxfId="303" priority="111" stopIfTrue="1">
      <formula>AND($B188&lt;&gt;"COMPOSICAO",$B188&lt;&gt;"INSUMO",$B188&lt;&gt;"")</formula>
    </cfRule>
    <cfRule type="expression" dxfId="302" priority="112" stopIfTrue="1">
      <formula>AND(OR($B188="COMPOSICAO",$B188="INSUMO",$B188&lt;&gt;""),$B188&lt;&gt;"")</formula>
    </cfRule>
  </conditionalFormatting>
  <conditionalFormatting sqref="N183:O183 N198:O199 N184:N186 N191">
    <cfRule type="expression" dxfId="301" priority="107" stopIfTrue="1">
      <formula>AND($B183&lt;&gt;"COMPOSICAO",$B183&lt;&gt;"INSUMO",$B183&lt;&gt;"")</formula>
    </cfRule>
    <cfRule type="expression" dxfId="300" priority="108" stopIfTrue="1">
      <formula>AND(OR($B183="COMPOSICAO",$B183="INSUMO",$B183&lt;&gt;""),$B183&lt;&gt;"")</formula>
    </cfRule>
  </conditionalFormatting>
  <conditionalFormatting sqref="O184:O186 O191">
    <cfRule type="expression" dxfId="299" priority="105" stopIfTrue="1">
      <formula>AND($B184&lt;&gt;"COMPOSICAO",$B184&lt;&gt;"INSUMO",$B184&lt;&gt;"")</formula>
    </cfRule>
    <cfRule type="expression" dxfId="298" priority="106" stopIfTrue="1">
      <formula>AND(OR($B184="COMPOSICAO",$B184="INSUMO",$B184&lt;&gt;""),$B184&lt;&gt;"")</formula>
    </cfRule>
  </conditionalFormatting>
  <conditionalFormatting sqref="N224:O224 D205:E205 D223:E223 D203 D219">
    <cfRule type="expression" dxfId="297" priority="95" stopIfTrue="1">
      <formula>AND($B203&lt;&gt;"COMPOSICAO",$B203&lt;&gt;"INSUMO",$B203&lt;&gt;"")</formula>
    </cfRule>
    <cfRule type="expression" dxfId="296" priority="96" stopIfTrue="1">
      <formula>AND(OR($B203="COMPOSICAO",$B203="INSUMO",$B203&lt;&gt;""),$B203&lt;&gt;"")</formula>
    </cfRule>
  </conditionalFormatting>
  <conditionalFormatting sqref="N215:O216">
    <cfRule type="expression" dxfId="295" priority="93" stopIfTrue="1">
      <formula>AND($B215&lt;&gt;"COMPOSICAO",$B215&lt;&gt;"INSUMO",$B215&lt;&gt;"")</formula>
    </cfRule>
    <cfRule type="expression" dxfId="294" priority="94" stopIfTrue="1">
      <formula>AND(OR($B215="COMPOSICAO",$B215="INSUMO",$B215&lt;&gt;""),$B215&lt;&gt;"")</formula>
    </cfRule>
  </conditionalFormatting>
  <conditionalFormatting sqref="N210:O210 N225:O226 N211:N213 N218">
    <cfRule type="expression" dxfId="293" priority="91" stopIfTrue="1">
      <formula>AND($B210&lt;&gt;"COMPOSICAO",$B210&lt;&gt;"INSUMO",$B210&lt;&gt;"")</formula>
    </cfRule>
    <cfRule type="expression" dxfId="292" priority="92" stopIfTrue="1">
      <formula>AND(OR($B210="COMPOSICAO",$B210="INSUMO",$B210&lt;&gt;""),$B210&lt;&gt;"")</formula>
    </cfRule>
  </conditionalFormatting>
  <conditionalFormatting sqref="O211:O213 O218">
    <cfRule type="expression" dxfId="291" priority="89" stopIfTrue="1">
      <formula>AND($B211&lt;&gt;"COMPOSICAO",$B211&lt;&gt;"INSUMO",$B211&lt;&gt;"")</formula>
    </cfRule>
    <cfRule type="expression" dxfId="290" priority="90" stopIfTrue="1">
      <formula>AND(OR($B211="COMPOSICAO",$B211="INSUMO",$B211&lt;&gt;""),$B211&lt;&gt;"")</formula>
    </cfRule>
  </conditionalFormatting>
  <conditionalFormatting sqref="N251:O251 D232:E232 D250:E250 D230 D246">
    <cfRule type="expression" dxfId="289" priority="87" stopIfTrue="1">
      <formula>AND($B230&lt;&gt;"COMPOSICAO",$B230&lt;&gt;"INSUMO",$B230&lt;&gt;"")</formula>
    </cfRule>
    <cfRule type="expression" dxfId="288" priority="88" stopIfTrue="1">
      <formula>AND(OR($B230="COMPOSICAO",$B230="INSUMO",$B230&lt;&gt;""),$B230&lt;&gt;"")</formula>
    </cfRule>
  </conditionalFormatting>
  <conditionalFormatting sqref="N242:O243">
    <cfRule type="expression" dxfId="287" priority="85" stopIfTrue="1">
      <formula>AND($B242&lt;&gt;"COMPOSICAO",$B242&lt;&gt;"INSUMO",$B242&lt;&gt;"")</formula>
    </cfRule>
    <cfRule type="expression" dxfId="286" priority="86" stopIfTrue="1">
      <formula>AND(OR($B242="COMPOSICAO",$B242="INSUMO",$B242&lt;&gt;""),$B242&lt;&gt;"")</formula>
    </cfRule>
  </conditionalFormatting>
  <conditionalFormatting sqref="N237:O237 N252:O253 N238:N240 N245">
    <cfRule type="expression" dxfId="285" priority="83" stopIfTrue="1">
      <formula>AND($B237&lt;&gt;"COMPOSICAO",$B237&lt;&gt;"INSUMO",$B237&lt;&gt;"")</formula>
    </cfRule>
    <cfRule type="expression" dxfId="284" priority="84" stopIfTrue="1">
      <formula>AND(OR($B237="COMPOSICAO",$B237="INSUMO",$B237&lt;&gt;""),$B237&lt;&gt;"")</formula>
    </cfRule>
  </conditionalFormatting>
  <conditionalFormatting sqref="O238:O240 O245">
    <cfRule type="expression" dxfId="283" priority="81" stopIfTrue="1">
      <formula>AND($B238&lt;&gt;"COMPOSICAO",$B238&lt;&gt;"INSUMO",$B238&lt;&gt;"")</formula>
    </cfRule>
    <cfRule type="expression" dxfId="282" priority="82" stopIfTrue="1">
      <formula>AND(OR($B238="COMPOSICAO",$B238="INSUMO",$B238&lt;&gt;""),$B238&lt;&gt;"")</formula>
    </cfRule>
  </conditionalFormatting>
  <conditionalFormatting sqref="N278:O278 D259:E259 D277:E277 D257 D273">
    <cfRule type="expression" dxfId="281" priority="79" stopIfTrue="1">
      <formula>AND($B257&lt;&gt;"COMPOSICAO",$B257&lt;&gt;"INSUMO",$B257&lt;&gt;"")</formula>
    </cfRule>
    <cfRule type="expression" dxfId="280" priority="80" stopIfTrue="1">
      <formula>AND(OR($B257="COMPOSICAO",$B257="INSUMO",$B257&lt;&gt;""),$B257&lt;&gt;"")</formula>
    </cfRule>
  </conditionalFormatting>
  <conditionalFormatting sqref="N269:O270">
    <cfRule type="expression" dxfId="279" priority="77" stopIfTrue="1">
      <formula>AND($B269&lt;&gt;"COMPOSICAO",$B269&lt;&gt;"INSUMO",$B269&lt;&gt;"")</formula>
    </cfRule>
    <cfRule type="expression" dxfId="278" priority="78" stopIfTrue="1">
      <formula>AND(OR($B269="COMPOSICAO",$B269="INSUMO",$B269&lt;&gt;""),$B269&lt;&gt;"")</formula>
    </cfRule>
  </conditionalFormatting>
  <conditionalFormatting sqref="N264:O264 N279:O280 N265:N267 N272">
    <cfRule type="expression" dxfId="277" priority="75" stopIfTrue="1">
      <formula>AND($B264&lt;&gt;"COMPOSICAO",$B264&lt;&gt;"INSUMO",$B264&lt;&gt;"")</formula>
    </cfRule>
    <cfRule type="expression" dxfId="276" priority="76" stopIfTrue="1">
      <formula>AND(OR($B264="COMPOSICAO",$B264="INSUMO",$B264&lt;&gt;""),$B264&lt;&gt;"")</formula>
    </cfRule>
  </conditionalFormatting>
  <conditionalFormatting sqref="O265:O267 O272">
    <cfRule type="expression" dxfId="275" priority="73" stopIfTrue="1">
      <formula>AND($B265&lt;&gt;"COMPOSICAO",$B265&lt;&gt;"INSUMO",$B265&lt;&gt;"")</formula>
    </cfRule>
    <cfRule type="expression" dxfId="274" priority="74" stopIfTrue="1">
      <formula>AND(OR($B265="COMPOSICAO",$B265="INSUMO",$B265&lt;&gt;""),$B265&lt;&gt;"")</formula>
    </cfRule>
  </conditionalFormatting>
  <conditionalFormatting sqref="N305:O305 D286:E286 D304:E304 D284 D300">
    <cfRule type="expression" dxfId="273" priority="71" stopIfTrue="1">
      <formula>AND($B284&lt;&gt;"COMPOSICAO",$B284&lt;&gt;"INSUMO",$B284&lt;&gt;"")</formula>
    </cfRule>
    <cfRule type="expression" dxfId="272" priority="72" stopIfTrue="1">
      <formula>AND(OR($B284="COMPOSICAO",$B284="INSUMO",$B284&lt;&gt;""),$B284&lt;&gt;"")</formula>
    </cfRule>
  </conditionalFormatting>
  <conditionalFormatting sqref="N296:O297">
    <cfRule type="expression" dxfId="271" priority="69" stopIfTrue="1">
      <formula>AND($B296&lt;&gt;"COMPOSICAO",$B296&lt;&gt;"INSUMO",$B296&lt;&gt;"")</formula>
    </cfRule>
    <cfRule type="expression" dxfId="270" priority="70" stopIfTrue="1">
      <formula>AND(OR($B296="COMPOSICAO",$B296="INSUMO",$B296&lt;&gt;""),$B296&lt;&gt;"")</formula>
    </cfRule>
  </conditionalFormatting>
  <conditionalFormatting sqref="N291:O291 N306:O307 N292:N294 N299">
    <cfRule type="expression" dxfId="269" priority="67" stopIfTrue="1">
      <formula>AND($B291&lt;&gt;"COMPOSICAO",$B291&lt;&gt;"INSUMO",$B291&lt;&gt;"")</formula>
    </cfRule>
    <cfRule type="expression" dxfId="268" priority="68" stopIfTrue="1">
      <formula>AND(OR($B291="COMPOSICAO",$B291="INSUMO",$B291&lt;&gt;""),$B291&lt;&gt;"")</formula>
    </cfRule>
  </conditionalFormatting>
  <conditionalFormatting sqref="O292:O294 O299">
    <cfRule type="expression" dxfId="267" priority="65" stopIfTrue="1">
      <formula>AND($B292&lt;&gt;"COMPOSICAO",$B292&lt;&gt;"INSUMO",$B292&lt;&gt;"")</formula>
    </cfRule>
    <cfRule type="expression" dxfId="266" priority="66" stopIfTrue="1">
      <formula>AND(OR($B292="COMPOSICAO",$B292="INSUMO",$B292&lt;&gt;""),$B292&lt;&gt;"")</formula>
    </cfRule>
  </conditionalFormatting>
  <conditionalFormatting sqref="N332:O332 D313:E313 D331:E331 D311 D327">
    <cfRule type="expression" dxfId="265" priority="63" stopIfTrue="1">
      <formula>AND($B311&lt;&gt;"COMPOSICAO",$B311&lt;&gt;"INSUMO",$B311&lt;&gt;"")</formula>
    </cfRule>
    <cfRule type="expression" dxfId="264" priority="64" stopIfTrue="1">
      <formula>AND(OR($B311="COMPOSICAO",$B311="INSUMO",$B311&lt;&gt;""),$B311&lt;&gt;"")</formula>
    </cfRule>
  </conditionalFormatting>
  <conditionalFormatting sqref="N323:O324">
    <cfRule type="expression" dxfId="263" priority="61" stopIfTrue="1">
      <formula>AND($B323&lt;&gt;"COMPOSICAO",$B323&lt;&gt;"INSUMO",$B323&lt;&gt;"")</formula>
    </cfRule>
    <cfRule type="expression" dxfId="262" priority="62" stopIfTrue="1">
      <formula>AND(OR($B323="COMPOSICAO",$B323="INSUMO",$B323&lt;&gt;""),$B323&lt;&gt;"")</formula>
    </cfRule>
  </conditionalFormatting>
  <conditionalFormatting sqref="N318:O318 N333:O334 N319:N321 N326">
    <cfRule type="expression" dxfId="261" priority="59" stopIfTrue="1">
      <formula>AND($B318&lt;&gt;"COMPOSICAO",$B318&lt;&gt;"INSUMO",$B318&lt;&gt;"")</formula>
    </cfRule>
    <cfRule type="expression" dxfId="260" priority="60" stopIfTrue="1">
      <formula>AND(OR($B318="COMPOSICAO",$B318="INSUMO",$B318&lt;&gt;""),$B318&lt;&gt;"")</formula>
    </cfRule>
  </conditionalFormatting>
  <conditionalFormatting sqref="O319:O321 O326">
    <cfRule type="expression" dxfId="259" priority="57" stopIfTrue="1">
      <formula>AND($B319&lt;&gt;"COMPOSICAO",$B319&lt;&gt;"INSUMO",$B319&lt;&gt;"")</formula>
    </cfRule>
    <cfRule type="expression" dxfId="258" priority="58" stopIfTrue="1">
      <formula>AND(OR($B319="COMPOSICAO",$B319="INSUMO",$B319&lt;&gt;""),$B319&lt;&gt;"")</formula>
    </cfRule>
  </conditionalFormatting>
  <conditionalFormatting sqref="D350 D353:E353">
    <cfRule type="expression" dxfId="257" priority="49" stopIfTrue="1">
      <formula>AND($B350&lt;&gt;"COMPOSICAO",$B350&lt;&gt;"INSUMO",$B350&lt;&gt;"")</formula>
    </cfRule>
    <cfRule type="expression" dxfId="256" priority="50" stopIfTrue="1">
      <formula>AND(OR($B350="COMPOSICAO",$B350="INSUMO",$B350&lt;&gt;""),$B350&lt;&gt;"")</formula>
    </cfRule>
  </conditionalFormatting>
  <conditionalFormatting sqref="N354:O354">
    <cfRule type="expression" dxfId="255" priority="47" stopIfTrue="1">
      <formula>AND($B354&lt;&gt;"COMPOSICAO",$B354&lt;&gt;"INSUMO",$B354&lt;&gt;"")</formula>
    </cfRule>
    <cfRule type="expression" dxfId="254" priority="48" stopIfTrue="1">
      <formula>AND(OR($B354="COMPOSICAO",$B354="INSUMO",$B354&lt;&gt;""),$B354&lt;&gt;"")</formula>
    </cfRule>
  </conditionalFormatting>
  <conditionalFormatting sqref="N355:O356">
    <cfRule type="expression" dxfId="253" priority="45" stopIfTrue="1">
      <formula>AND($B355&lt;&gt;"COMPOSICAO",$B355&lt;&gt;"INSUMO",$B355&lt;&gt;"")</formula>
    </cfRule>
    <cfRule type="expression" dxfId="252" priority="46" stopIfTrue="1">
      <formula>AND(OR($B355="COMPOSICAO",$B355="INSUMO",$B355&lt;&gt;""),$B355&lt;&gt;"")</formula>
    </cfRule>
  </conditionalFormatting>
  <conditionalFormatting sqref="D360 D363:E363">
    <cfRule type="expression" dxfId="251" priority="43" stopIfTrue="1">
      <formula>AND($B360&lt;&gt;"COMPOSICAO",$B360&lt;&gt;"INSUMO",$B360&lt;&gt;"")</formula>
    </cfRule>
    <cfRule type="expression" dxfId="250" priority="44" stopIfTrue="1">
      <formula>AND(OR($B360="COMPOSICAO",$B360="INSUMO",$B360&lt;&gt;""),$B360&lt;&gt;"")</formula>
    </cfRule>
  </conditionalFormatting>
  <conditionalFormatting sqref="N364:O364">
    <cfRule type="expression" dxfId="249" priority="41" stopIfTrue="1">
      <formula>AND($B364&lt;&gt;"COMPOSICAO",$B364&lt;&gt;"INSUMO",$B364&lt;&gt;"")</formula>
    </cfRule>
    <cfRule type="expression" dxfId="248" priority="42" stopIfTrue="1">
      <formula>AND(OR($B364="COMPOSICAO",$B364="INSUMO",$B364&lt;&gt;""),$B364&lt;&gt;"")</formula>
    </cfRule>
  </conditionalFormatting>
  <conditionalFormatting sqref="N365:O366">
    <cfRule type="expression" dxfId="247" priority="39" stopIfTrue="1">
      <formula>AND($B365&lt;&gt;"COMPOSICAO",$B365&lt;&gt;"INSUMO",$B365&lt;&gt;"")</formula>
    </cfRule>
    <cfRule type="expression" dxfId="246" priority="40" stopIfTrue="1">
      <formula>AND(OR($B365="COMPOSICAO",$B365="INSUMO",$B365&lt;&gt;""),$B365&lt;&gt;"")</formula>
    </cfRule>
  </conditionalFormatting>
  <conditionalFormatting sqref="D370 D373:E373">
    <cfRule type="expression" dxfId="245" priority="37" stopIfTrue="1">
      <formula>AND($B370&lt;&gt;"COMPOSICAO",$B370&lt;&gt;"INSUMO",$B370&lt;&gt;"")</formula>
    </cfRule>
    <cfRule type="expression" dxfId="244" priority="38" stopIfTrue="1">
      <formula>AND(OR($B370="COMPOSICAO",$B370="INSUMO",$B370&lt;&gt;""),$B370&lt;&gt;"")</formula>
    </cfRule>
  </conditionalFormatting>
  <conditionalFormatting sqref="N374:O374">
    <cfRule type="expression" dxfId="243" priority="35" stopIfTrue="1">
      <formula>AND($B374&lt;&gt;"COMPOSICAO",$B374&lt;&gt;"INSUMO",$B374&lt;&gt;"")</formula>
    </cfRule>
    <cfRule type="expression" dxfId="242" priority="36" stopIfTrue="1">
      <formula>AND(OR($B374="COMPOSICAO",$B374="INSUMO",$B374&lt;&gt;""),$B374&lt;&gt;"")</formula>
    </cfRule>
  </conditionalFormatting>
  <conditionalFormatting sqref="N375:O376">
    <cfRule type="expression" dxfId="241" priority="33" stopIfTrue="1">
      <formula>AND($B375&lt;&gt;"COMPOSICAO",$B375&lt;&gt;"INSUMO",$B375&lt;&gt;"")</formula>
    </cfRule>
    <cfRule type="expression" dxfId="240" priority="34" stopIfTrue="1">
      <formula>AND(OR($B375="COMPOSICAO",$B375="INSUMO",$B375&lt;&gt;""),$B375&lt;&gt;"")</formula>
    </cfRule>
  </conditionalFormatting>
  <conditionalFormatting sqref="D380 D383:E383">
    <cfRule type="expression" dxfId="239" priority="31" stopIfTrue="1">
      <formula>AND($B380&lt;&gt;"COMPOSICAO",$B380&lt;&gt;"INSUMO",$B380&lt;&gt;"")</formula>
    </cfRule>
    <cfRule type="expression" dxfId="238" priority="32" stopIfTrue="1">
      <formula>AND(OR($B380="COMPOSICAO",$B380="INSUMO",$B380&lt;&gt;""),$B380&lt;&gt;"")</formula>
    </cfRule>
  </conditionalFormatting>
  <conditionalFormatting sqref="N384:O384">
    <cfRule type="expression" dxfId="237" priority="29" stopIfTrue="1">
      <formula>AND($B384&lt;&gt;"COMPOSICAO",$B384&lt;&gt;"INSUMO",$B384&lt;&gt;"")</formula>
    </cfRule>
    <cfRule type="expression" dxfId="236" priority="30" stopIfTrue="1">
      <formula>AND(OR($B384="COMPOSICAO",$B384="INSUMO",$B384&lt;&gt;""),$B384&lt;&gt;"")</formula>
    </cfRule>
  </conditionalFormatting>
  <conditionalFormatting sqref="N385:O386">
    <cfRule type="expression" dxfId="235" priority="27" stopIfTrue="1">
      <formula>AND($B385&lt;&gt;"COMPOSICAO",$B385&lt;&gt;"INSUMO",$B385&lt;&gt;"")</formula>
    </cfRule>
    <cfRule type="expression" dxfId="234" priority="28" stopIfTrue="1">
      <formula>AND(OR($B385="COMPOSICAO",$B385="INSUMO",$B385&lt;&gt;""),$B385&lt;&gt;"")</formula>
    </cfRule>
  </conditionalFormatting>
  <conditionalFormatting sqref="D390 D393:E393">
    <cfRule type="expression" dxfId="233" priority="25" stopIfTrue="1">
      <formula>AND($B390&lt;&gt;"COMPOSICAO",$B390&lt;&gt;"INSUMO",$B390&lt;&gt;"")</formula>
    </cfRule>
    <cfRule type="expression" dxfId="232" priority="26" stopIfTrue="1">
      <formula>AND(OR($B390="COMPOSICAO",$B390="INSUMO",$B390&lt;&gt;""),$B390&lt;&gt;"")</formula>
    </cfRule>
  </conditionalFormatting>
  <conditionalFormatting sqref="N394:O394">
    <cfRule type="expression" dxfId="231" priority="23" stopIfTrue="1">
      <formula>AND($B394&lt;&gt;"COMPOSICAO",$B394&lt;&gt;"INSUMO",$B394&lt;&gt;"")</formula>
    </cfRule>
    <cfRule type="expression" dxfId="230" priority="24" stopIfTrue="1">
      <formula>AND(OR($B394="COMPOSICAO",$B394="INSUMO",$B394&lt;&gt;""),$B394&lt;&gt;"")</formula>
    </cfRule>
  </conditionalFormatting>
  <conditionalFormatting sqref="N395:O396">
    <cfRule type="expression" dxfId="229" priority="21" stopIfTrue="1">
      <formula>AND($B395&lt;&gt;"COMPOSICAO",$B395&lt;&gt;"INSUMO",$B395&lt;&gt;"")</formula>
    </cfRule>
    <cfRule type="expression" dxfId="228" priority="22" stopIfTrue="1">
      <formula>AND(OR($B395="COMPOSICAO",$B395="INSUMO",$B395&lt;&gt;""),$B395&lt;&gt;"")</formula>
    </cfRule>
  </conditionalFormatting>
  <conditionalFormatting sqref="D400 D403:E403">
    <cfRule type="expression" dxfId="227" priority="19" stopIfTrue="1">
      <formula>AND($B400&lt;&gt;"COMPOSICAO",$B400&lt;&gt;"INSUMO",$B400&lt;&gt;"")</formula>
    </cfRule>
    <cfRule type="expression" dxfId="226" priority="20" stopIfTrue="1">
      <formula>AND(OR($B400="COMPOSICAO",$B400="INSUMO",$B400&lt;&gt;""),$B400&lt;&gt;"")</formula>
    </cfRule>
  </conditionalFormatting>
  <conditionalFormatting sqref="N404:O404">
    <cfRule type="expression" dxfId="225" priority="17" stopIfTrue="1">
      <formula>AND($B404&lt;&gt;"COMPOSICAO",$B404&lt;&gt;"INSUMO",$B404&lt;&gt;"")</formula>
    </cfRule>
    <cfRule type="expression" dxfId="224" priority="18" stopIfTrue="1">
      <formula>AND(OR($B404="COMPOSICAO",$B404="INSUMO",$B404&lt;&gt;""),$B404&lt;&gt;"")</formula>
    </cfRule>
  </conditionalFormatting>
  <conditionalFormatting sqref="N405:O406">
    <cfRule type="expression" dxfId="223" priority="15" stopIfTrue="1">
      <formula>AND($B405&lt;&gt;"COMPOSICAO",$B405&lt;&gt;"INSUMO",$B405&lt;&gt;"")</formula>
    </cfRule>
    <cfRule type="expression" dxfId="222" priority="16" stopIfTrue="1">
      <formula>AND(OR($B405="COMPOSICAO",$B405="INSUMO",$B405&lt;&gt;""),$B405&lt;&gt;"")</formula>
    </cfRule>
  </conditionalFormatting>
  <conditionalFormatting sqref="D339 D342:E342">
    <cfRule type="expression" dxfId="221" priority="13" stopIfTrue="1">
      <formula>AND($B339&lt;&gt;"COMPOSICAO",$B339&lt;&gt;"INSUMO",$B339&lt;&gt;"")</formula>
    </cfRule>
    <cfRule type="expression" dxfId="220" priority="14" stopIfTrue="1">
      <formula>AND(OR($B339="COMPOSICAO",$B339="INSUMO",$B339&lt;&gt;""),$B339&lt;&gt;"")</formula>
    </cfRule>
  </conditionalFormatting>
  <conditionalFormatting sqref="N343:O343">
    <cfRule type="expression" dxfId="219" priority="11" stopIfTrue="1">
      <formula>AND($B343&lt;&gt;"COMPOSICAO",$B343&lt;&gt;"INSUMO",$B343&lt;&gt;"")</formula>
    </cfRule>
    <cfRule type="expression" dxfId="218" priority="12" stopIfTrue="1">
      <formula>AND(OR($B343="COMPOSICAO",$B343="INSUMO",$B343&lt;&gt;""),$B343&lt;&gt;"")</formula>
    </cfRule>
  </conditionalFormatting>
  <conditionalFormatting sqref="N344:O345">
    <cfRule type="expression" dxfId="217" priority="9" stopIfTrue="1">
      <formula>AND($B344&lt;&gt;"COMPOSICAO",$B344&lt;&gt;"INSUMO",$B344&lt;&gt;"")</formula>
    </cfRule>
    <cfRule type="expression" dxfId="216" priority="10" stopIfTrue="1">
      <formula>AND(OR($B344="COMPOSICAO",$B344="INSUMO",$B344&lt;&gt;""),$B344&lt;&gt;"")</formula>
    </cfRule>
  </conditionalFormatting>
  <conditionalFormatting sqref="N169:O169 D150:E150 D168:E168 D148 D164">
    <cfRule type="expression" dxfId="215" priority="7" stopIfTrue="1">
      <formula>AND($B148&lt;&gt;"COMPOSICAO",$B148&lt;&gt;"INSUMO",$B148&lt;&gt;"")</formula>
    </cfRule>
    <cfRule type="expression" dxfId="214" priority="8" stopIfTrue="1">
      <formula>AND(OR($B148="COMPOSICAO",$B148="INSUMO",$B148&lt;&gt;""),$B148&lt;&gt;"")</formula>
    </cfRule>
  </conditionalFormatting>
  <conditionalFormatting sqref="N160:O161">
    <cfRule type="expression" dxfId="213" priority="5" stopIfTrue="1">
      <formula>AND($B160&lt;&gt;"COMPOSICAO",$B160&lt;&gt;"INSUMO",$B160&lt;&gt;"")</formula>
    </cfRule>
    <cfRule type="expression" dxfId="212" priority="6" stopIfTrue="1">
      <formula>AND(OR($B160="COMPOSICAO",$B160="INSUMO",$B160&lt;&gt;""),$B160&lt;&gt;"")</formula>
    </cfRule>
  </conditionalFormatting>
  <conditionalFormatting sqref="N155:O155 N170:O171 N156:N158 N163">
    <cfRule type="expression" dxfId="211" priority="3" stopIfTrue="1">
      <formula>AND($B155&lt;&gt;"COMPOSICAO",$B155&lt;&gt;"INSUMO",$B155&lt;&gt;"")</formula>
    </cfRule>
    <cfRule type="expression" dxfId="210" priority="4" stopIfTrue="1">
      <formula>AND(OR($B155="COMPOSICAO",$B155="INSUMO",$B155&lt;&gt;""),$B155&lt;&gt;"")</formula>
    </cfRule>
  </conditionalFormatting>
  <conditionalFormatting sqref="O156:O158 O163">
    <cfRule type="expression" dxfId="209" priority="1" stopIfTrue="1">
      <formula>AND($B156&lt;&gt;"COMPOSICAO",$B156&lt;&gt;"INSUMO",$B156&lt;&gt;"")</formula>
    </cfRule>
    <cfRule type="expression" dxfId="208" priority="2" stopIfTrue="1">
      <formula>AND(OR($B156="COMPOSICAO",$B156="INSUMO",$B156&lt;&gt;""),$B156&lt;&gt;"")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45" fitToHeight="0" orientation="portrait" horizontalDpi="360" verticalDpi="360" r:id="rId1"/>
  <headerFooter>
    <oddFooter>Página &amp;P de &amp;N</oddFooter>
  </headerFooter>
  <rowBreaks count="1" manualBreakCount="1">
    <brk id="112" min="2" max="16" man="1"/>
  </rowBreaks>
  <ignoredErrors>
    <ignoredError sqref="D413 K79 Q421:Q424 Q419:Q420 D33 D430 F428 K428 K442 N30 D66 L134:L136 L125:L130 Q126:Q130 Q134:Q136 K125:K130 D114 O136 D13 D175 D202 D229 D256 D283 D147 O7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B5F5-53B9-4170-8CB7-EDD92D9BA3DC}">
  <sheetPr>
    <pageSetUpPr fitToPage="1"/>
  </sheetPr>
  <dimension ref="C2:I158"/>
  <sheetViews>
    <sheetView view="pageBreakPreview" topLeftCell="A16" zoomScaleNormal="100" zoomScaleSheetLayoutView="100" workbookViewId="0">
      <selection activeCell="C23" sqref="C23:F23"/>
    </sheetView>
  </sheetViews>
  <sheetFormatPr defaultRowHeight="15" x14ac:dyDescent="0.25"/>
  <cols>
    <col min="3" max="3" width="10.28515625" customWidth="1"/>
    <col min="4" max="4" width="31.5703125" customWidth="1"/>
    <col min="5" max="5" width="19" customWidth="1"/>
    <col min="6" max="6" width="12.85546875" customWidth="1"/>
    <col min="7" max="7" width="12.42578125" customWidth="1"/>
    <col min="8" max="8" width="16.7109375" customWidth="1"/>
    <col min="9" max="9" width="11.7109375" customWidth="1"/>
  </cols>
  <sheetData>
    <row r="2" spans="3:9" x14ac:dyDescent="0.25">
      <c r="C2" s="699"/>
      <c r="D2" s="699"/>
      <c r="E2" s="701" t="s">
        <v>735</v>
      </c>
      <c r="F2" s="701"/>
      <c r="G2" s="701"/>
      <c r="H2" s="701"/>
      <c r="I2" s="701"/>
    </row>
    <row r="3" spans="3:9" s="34" customFormat="1" x14ac:dyDescent="0.25">
      <c r="C3" s="699"/>
      <c r="D3" s="699"/>
      <c r="E3" s="697"/>
      <c r="F3" s="697"/>
      <c r="G3" s="697"/>
      <c r="H3" s="697"/>
      <c r="I3" s="697"/>
    </row>
    <row r="4" spans="3:9" s="34" customFormat="1" x14ac:dyDescent="0.25">
      <c r="C4" s="699"/>
      <c r="D4" s="699"/>
      <c r="E4" s="701"/>
      <c r="F4" s="701"/>
      <c r="G4" s="701"/>
      <c r="H4" s="701"/>
      <c r="I4" s="701"/>
    </row>
    <row r="5" spans="3:9" s="34" customFormat="1" x14ac:dyDescent="0.25">
      <c r="C5" s="699"/>
      <c r="D5" s="699"/>
      <c r="E5" s="438" t="s">
        <v>746</v>
      </c>
      <c r="F5" s="696" t="s">
        <v>747</v>
      </c>
      <c r="G5" s="696"/>
      <c r="H5" s="696" t="s">
        <v>748</v>
      </c>
      <c r="I5" s="697"/>
    </row>
    <row r="6" spans="3:9" s="34" customFormat="1" x14ac:dyDescent="0.25">
      <c r="C6" s="699"/>
      <c r="D6" s="699"/>
      <c r="E6" s="439">
        <f>'PLANILHA ORÇAMENTÁRIA'!D13</f>
        <v>0</v>
      </c>
      <c r="F6" s="702">
        <f>'PLANILHA ORÇAMENTÁRIA'!G13</f>
        <v>0</v>
      </c>
      <c r="G6" s="702"/>
      <c r="H6" s="698">
        <f>E6+F6</f>
        <v>0</v>
      </c>
      <c r="I6" s="697"/>
    </row>
    <row r="7" spans="3:9" s="34" customFormat="1" x14ac:dyDescent="0.25">
      <c r="C7" s="699"/>
      <c r="D7" s="699"/>
      <c r="E7" s="440" t="e">
        <f>E6/H6</f>
        <v>#DIV/0!</v>
      </c>
      <c r="F7" s="695" t="e">
        <f>F6/H6</f>
        <v>#DIV/0!</v>
      </c>
      <c r="G7" s="695"/>
      <c r="H7" s="695">
        <f>'PLANILHA ORÇAMENTÁRIA'!K14</f>
        <v>0</v>
      </c>
      <c r="I7" s="697"/>
    </row>
    <row r="8" spans="3:9" s="34" customFormat="1" x14ac:dyDescent="0.25">
      <c r="C8" s="699"/>
      <c r="D8" s="699"/>
      <c r="E8" s="700" t="s">
        <v>749</v>
      </c>
      <c r="F8" s="700"/>
      <c r="G8" s="700"/>
      <c r="H8" s="700"/>
      <c r="I8" s="441">
        <v>0.25600000000000001</v>
      </c>
    </row>
    <row r="9" spans="3:9" s="34" customFormat="1" x14ac:dyDescent="0.25">
      <c r="C9" s="699"/>
      <c r="D9" s="699"/>
      <c r="E9" s="700" t="s">
        <v>731</v>
      </c>
      <c r="F9" s="700"/>
      <c r="G9" s="700"/>
      <c r="H9" s="700"/>
      <c r="I9" s="437"/>
    </row>
    <row r="10" spans="3:9" s="34" customFormat="1" x14ac:dyDescent="0.25">
      <c r="C10" s="699"/>
      <c r="D10" s="699"/>
      <c r="E10" s="700" t="s">
        <v>732</v>
      </c>
      <c r="F10" s="700"/>
      <c r="G10" s="700"/>
      <c r="H10" s="700"/>
      <c r="I10" s="437"/>
    </row>
    <row r="11" spans="3:9" s="34" customFormat="1" x14ac:dyDescent="0.25">
      <c r="C11" s="699"/>
      <c r="D11" s="699"/>
      <c r="E11" s="437"/>
      <c r="F11" s="437"/>
      <c r="G11" s="437"/>
      <c r="H11" s="437"/>
      <c r="I11" s="437"/>
    </row>
    <row r="12" spans="3:9" s="34" customFormat="1" x14ac:dyDescent="0.25">
      <c r="C12" s="436"/>
      <c r="D12" s="436"/>
      <c r="E12" s="437"/>
      <c r="F12" s="437"/>
      <c r="G12" s="437"/>
      <c r="H12" s="437"/>
      <c r="I12" s="437"/>
    </row>
    <row r="13" spans="3:9" s="34" customFormat="1" x14ac:dyDescent="0.25">
      <c r="C13" s="703" t="s">
        <v>740</v>
      </c>
      <c r="D13" s="703"/>
      <c r="E13" s="703"/>
      <c r="F13" s="703"/>
      <c r="G13" s="703"/>
      <c r="H13" s="703"/>
      <c r="I13" s="703"/>
    </row>
    <row r="14" spans="3:9" s="34" customFormat="1" x14ac:dyDescent="0.25">
      <c r="C14" s="697" t="s">
        <v>736</v>
      </c>
      <c r="D14" s="697"/>
      <c r="E14" s="697"/>
      <c r="F14" s="697"/>
      <c r="G14" s="697"/>
      <c r="H14" s="697"/>
      <c r="I14" s="697"/>
    </row>
    <row r="15" spans="3:9" s="34" customFormat="1" x14ac:dyDescent="0.25">
      <c r="C15" s="697" t="str">
        <f>'PLANILHA ORÇAMENTÁRIA'!B23</f>
        <v>proponente/proprietário = Prefeitura Municipal de Santo Antônio dos Lopes - Ma</v>
      </c>
      <c r="D15" s="697"/>
      <c r="E15" s="697"/>
      <c r="F15" s="697"/>
      <c r="G15" s="697"/>
      <c r="H15" s="697"/>
      <c r="I15" s="697"/>
    </row>
    <row r="16" spans="3:9" s="34" customFormat="1" x14ac:dyDescent="0.25">
      <c r="C16" s="697" t="str">
        <f>'PLANILHA ORÇAMENTÁRIA'!B24</f>
        <v xml:space="preserve">data / referência = SINAPI - DESON-AGOSTO -2021, SICRO ABRIL DE 2021 </v>
      </c>
      <c r="D16" s="697"/>
      <c r="E16" s="697"/>
      <c r="F16" s="697"/>
      <c r="G16" s="697"/>
      <c r="H16" s="697"/>
      <c r="I16" s="697"/>
    </row>
    <row r="17" spans="3:9" s="34" customFormat="1" ht="9" customHeight="1" x14ac:dyDescent="0.25">
      <c r="C17" s="436"/>
      <c r="D17" s="436"/>
      <c r="E17" s="437"/>
      <c r="F17" s="437"/>
      <c r="G17" s="437"/>
      <c r="H17" s="437"/>
      <c r="I17" s="437"/>
    </row>
    <row r="18" spans="3:9" s="34" customFormat="1" x14ac:dyDescent="0.25">
      <c r="C18" s="703" t="s">
        <v>751</v>
      </c>
      <c r="D18" s="703"/>
      <c r="E18" s="703"/>
      <c r="F18" s="703"/>
      <c r="G18" s="703"/>
      <c r="H18" s="703"/>
      <c r="I18" s="703"/>
    </row>
    <row r="19" spans="3:9" s="34" customFormat="1" x14ac:dyDescent="0.25">
      <c r="C19" s="704" t="s">
        <v>750</v>
      </c>
      <c r="D19" s="704"/>
      <c r="E19" s="704"/>
      <c r="F19" s="704"/>
      <c r="G19" s="705" t="s">
        <v>752</v>
      </c>
      <c r="H19" s="705"/>
      <c r="I19" s="705"/>
    </row>
    <row r="20" spans="3:9" s="34" customFormat="1" x14ac:dyDescent="0.25">
      <c r="C20" s="704"/>
      <c r="D20" s="704"/>
      <c r="E20" s="704"/>
      <c r="F20" s="704"/>
      <c r="G20" s="431" t="s">
        <v>755</v>
      </c>
      <c r="H20" s="431" t="s">
        <v>754</v>
      </c>
      <c r="I20" s="431" t="s">
        <v>753</v>
      </c>
    </row>
    <row r="21" spans="3:9" s="34" customFormat="1" x14ac:dyDescent="0.25">
      <c r="C21" s="706" t="s">
        <v>756</v>
      </c>
      <c r="D21" s="706"/>
      <c r="E21" s="706"/>
      <c r="F21" s="706"/>
      <c r="G21" s="432">
        <v>1410</v>
      </c>
      <c r="H21" s="432">
        <v>6.5</v>
      </c>
      <c r="I21" s="432">
        <f>G21*H21</f>
        <v>9165</v>
      </c>
    </row>
    <row r="22" spans="3:9" s="34" customFormat="1" x14ac:dyDescent="0.25">
      <c r="C22" s="706" t="s">
        <v>758</v>
      </c>
      <c r="D22" s="706"/>
      <c r="E22" s="706"/>
      <c r="F22" s="706"/>
      <c r="G22" s="432">
        <v>1110</v>
      </c>
      <c r="H22" s="432">
        <v>6</v>
      </c>
      <c r="I22" s="432">
        <f>G22*H22</f>
        <v>6660</v>
      </c>
    </row>
    <row r="23" spans="3:9" s="34" customFormat="1" x14ac:dyDescent="0.25">
      <c r="C23" s="706" t="s">
        <v>757</v>
      </c>
      <c r="D23" s="706"/>
      <c r="E23" s="706"/>
      <c r="F23" s="706"/>
      <c r="G23" s="432">
        <v>640</v>
      </c>
      <c r="H23" s="432">
        <v>6</v>
      </c>
      <c r="I23" s="432">
        <f>G23*H23</f>
        <v>3840</v>
      </c>
    </row>
    <row r="24" spans="3:9" s="34" customFormat="1" ht="16.5" customHeight="1" x14ac:dyDescent="0.25">
      <c r="C24" s="684" t="s">
        <v>759</v>
      </c>
      <c r="D24" s="684"/>
      <c r="E24" s="684"/>
      <c r="F24" s="684"/>
      <c r="G24" s="433">
        <f>SUM(G21:G23)</f>
        <v>3160</v>
      </c>
      <c r="I24" s="433">
        <f>SUM(I21:I23)</f>
        <v>19665</v>
      </c>
    </row>
    <row r="25" spans="3:9" s="34" customFormat="1" x14ac:dyDescent="0.25">
      <c r="C25" s="684" t="s">
        <v>760</v>
      </c>
      <c r="D25" s="684"/>
      <c r="E25" s="684"/>
      <c r="F25" s="684"/>
      <c r="H25" s="432">
        <v>6</v>
      </c>
    </row>
    <row r="26" spans="3:9" ht="15.75" thickBot="1" x14ac:dyDescent="0.3">
      <c r="C26" s="685" t="s">
        <v>761</v>
      </c>
      <c r="D26" s="685"/>
      <c r="E26" s="435">
        <f>H6</f>
        <v>0</v>
      </c>
      <c r="F26" s="421" t="s">
        <v>763</v>
      </c>
      <c r="G26" s="434" t="s">
        <v>762</v>
      </c>
      <c r="H26" s="686">
        <f>E26/G24*1000</f>
        <v>0</v>
      </c>
      <c r="I26" s="687"/>
    </row>
    <row r="27" spans="3:9" ht="15.75" x14ac:dyDescent="0.25">
      <c r="C27" s="688" t="s">
        <v>500</v>
      </c>
      <c r="D27" s="689"/>
      <c r="E27" s="689"/>
      <c r="F27" s="689"/>
      <c r="G27" s="689"/>
      <c r="H27" s="689"/>
      <c r="I27" s="690"/>
    </row>
    <row r="28" spans="3:9" x14ac:dyDescent="0.25">
      <c r="C28" s="220"/>
      <c r="D28" s="221"/>
      <c r="E28" s="221"/>
      <c r="F28" s="221"/>
      <c r="G28" s="221"/>
      <c r="H28" s="221"/>
      <c r="I28" s="222"/>
    </row>
    <row r="29" spans="3:9" x14ac:dyDescent="0.25">
      <c r="C29" s="223" t="s">
        <v>31</v>
      </c>
      <c r="D29" s="224">
        <f>[10]Planilha1!E1</f>
        <v>0</v>
      </c>
      <c r="E29" s="225"/>
      <c r="F29" s="225"/>
      <c r="G29" s="225"/>
      <c r="H29" s="225"/>
      <c r="I29" s="226"/>
    </row>
    <row r="30" spans="3:9" x14ac:dyDescent="0.25">
      <c r="C30" s="227"/>
      <c r="D30" s="221"/>
      <c r="E30" s="221"/>
      <c r="F30" s="221"/>
      <c r="G30" s="221"/>
      <c r="H30" s="221"/>
      <c r="I30" s="222"/>
    </row>
    <row r="31" spans="3:9" x14ac:dyDescent="0.25">
      <c r="C31" s="228" t="s">
        <v>5</v>
      </c>
      <c r="D31" s="229" t="s">
        <v>501</v>
      </c>
      <c r="E31" s="221"/>
      <c r="F31" s="221"/>
      <c r="G31" s="221"/>
      <c r="H31" s="221"/>
      <c r="I31" s="222"/>
    </row>
    <row r="32" spans="3:9" x14ac:dyDescent="0.25">
      <c r="C32" s="228"/>
      <c r="D32" s="230" t="s">
        <v>502</v>
      </c>
      <c r="E32" s="221"/>
      <c r="F32" s="230" t="s">
        <v>503</v>
      </c>
      <c r="G32" s="221"/>
      <c r="H32" s="230" t="s">
        <v>504</v>
      </c>
      <c r="I32" s="222"/>
    </row>
    <row r="33" spans="3:9" x14ac:dyDescent="0.25">
      <c r="C33" s="227"/>
      <c r="D33" s="231">
        <v>3</v>
      </c>
      <c r="E33" s="230" t="s">
        <v>505</v>
      </c>
      <c r="F33" s="231">
        <v>2</v>
      </c>
      <c r="G33" s="232" t="s">
        <v>505</v>
      </c>
      <c r="H33" s="231">
        <v>1</v>
      </c>
      <c r="I33" s="233" t="s">
        <v>506</v>
      </c>
    </row>
    <row r="34" spans="3:9" x14ac:dyDescent="0.25">
      <c r="C34" s="227"/>
      <c r="D34" s="221"/>
      <c r="E34" s="221"/>
      <c r="F34" s="221"/>
      <c r="G34" s="221"/>
      <c r="H34" s="234">
        <f>D33*F33*H33</f>
        <v>6</v>
      </c>
      <c r="I34" s="235" t="s">
        <v>6</v>
      </c>
    </row>
    <row r="35" spans="3:9" x14ac:dyDescent="0.25">
      <c r="C35" s="227"/>
      <c r="D35" s="221"/>
      <c r="E35" s="221"/>
      <c r="F35" s="221"/>
      <c r="G35" s="221"/>
      <c r="H35" s="221"/>
      <c r="I35" s="222"/>
    </row>
    <row r="36" spans="3:9" x14ac:dyDescent="0.25">
      <c r="C36" s="228" t="s">
        <v>7</v>
      </c>
      <c r="D36" s="229" t="s">
        <v>507</v>
      </c>
      <c r="E36" s="221"/>
      <c r="F36" s="221"/>
      <c r="G36" s="221"/>
      <c r="H36" s="221"/>
      <c r="I36" s="222"/>
    </row>
    <row r="37" spans="3:9" x14ac:dyDescent="0.25">
      <c r="C37" s="228"/>
      <c r="D37" s="230" t="s">
        <v>502</v>
      </c>
      <c r="E37" s="221"/>
      <c r="F37" s="230" t="s">
        <v>503</v>
      </c>
      <c r="G37" s="221"/>
      <c r="H37" s="236" t="s">
        <v>504</v>
      </c>
      <c r="I37" s="237"/>
    </row>
    <row r="38" spans="3:9" x14ac:dyDescent="0.25">
      <c r="C38" s="227"/>
      <c r="D38" s="231">
        <v>3</v>
      </c>
      <c r="E38" s="230" t="s">
        <v>505</v>
      </c>
      <c r="F38" s="231">
        <v>7</v>
      </c>
      <c r="G38" s="232" t="s">
        <v>505</v>
      </c>
      <c r="H38" s="238">
        <v>1</v>
      </c>
      <c r="I38" s="239" t="s">
        <v>506</v>
      </c>
    </row>
    <row r="39" spans="3:9" x14ac:dyDescent="0.25">
      <c r="C39" s="227"/>
      <c r="D39" s="231"/>
      <c r="E39" s="230"/>
      <c r="F39" s="231"/>
      <c r="G39" s="232"/>
      <c r="H39" s="240">
        <f>D38*F38*H38</f>
        <v>21</v>
      </c>
      <c r="I39" s="241" t="s">
        <v>6</v>
      </c>
    </row>
    <row r="40" spans="3:9" x14ac:dyDescent="0.25">
      <c r="C40" s="228" t="s">
        <v>8</v>
      </c>
      <c r="D40" s="229" t="s">
        <v>508</v>
      </c>
      <c r="E40" s="221"/>
      <c r="F40" s="221"/>
      <c r="G40" s="221"/>
      <c r="H40" s="242"/>
      <c r="I40" s="243"/>
    </row>
    <row r="41" spans="3:9" x14ac:dyDescent="0.25">
      <c r="C41" s="228"/>
      <c r="D41" s="230" t="s">
        <v>508</v>
      </c>
      <c r="E41" s="232" t="s">
        <v>506</v>
      </c>
      <c r="F41" s="234">
        <v>1</v>
      </c>
      <c r="G41" s="244" t="s">
        <v>509</v>
      </c>
      <c r="H41" s="230"/>
      <c r="I41" s="222"/>
    </row>
    <row r="42" spans="3:9" x14ac:dyDescent="0.25">
      <c r="C42" s="227"/>
      <c r="D42" s="231"/>
      <c r="E42" s="230"/>
      <c r="F42" s="231"/>
      <c r="G42" s="232"/>
      <c r="H42" s="231"/>
      <c r="I42" s="233"/>
    </row>
    <row r="43" spans="3:9" x14ac:dyDescent="0.25">
      <c r="C43" s="227"/>
      <c r="D43" s="221"/>
      <c r="E43" s="221"/>
      <c r="F43" s="221"/>
      <c r="G43" s="221"/>
      <c r="H43" s="234"/>
      <c r="I43" s="235"/>
    </row>
    <row r="44" spans="3:9" x14ac:dyDescent="0.25">
      <c r="C44" s="228" t="s">
        <v>16</v>
      </c>
      <c r="D44" s="229" t="s">
        <v>510</v>
      </c>
      <c r="E44" s="221"/>
      <c r="F44" s="221"/>
      <c r="G44" s="221"/>
      <c r="H44" s="221"/>
      <c r="I44" s="222"/>
    </row>
    <row r="45" spans="3:9" x14ac:dyDescent="0.25">
      <c r="C45" s="228"/>
      <c r="D45" s="230" t="s">
        <v>510</v>
      </c>
      <c r="E45" s="232" t="s">
        <v>506</v>
      </c>
      <c r="F45" s="234">
        <v>1</v>
      </c>
      <c r="G45" s="244" t="s">
        <v>509</v>
      </c>
      <c r="H45" s="230"/>
      <c r="I45" s="222"/>
    </row>
    <row r="46" spans="3:9" x14ac:dyDescent="0.25">
      <c r="C46" s="227"/>
      <c r="D46" s="231"/>
      <c r="E46" s="230"/>
      <c r="F46" s="231"/>
      <c r="G46" s="232"/>
      <c r="H46" s="231"/>
      <c r="I46" s="233"/>
    </row>
    <row r="47" spans="3:9" x14ac:dyDescent="0.25">
      <c r="C47" s="220"/>
      <c r="D47" s="221"/>
      <c r="E47" s="221"/>
      <c r="F47" s="221"/>
      <c r="G47" s="221"/>
      <c r="H47" s="221"/>
      <c r="I47" s="222"/>
    </row>
    <row r="48" spans="3:9" x14ac:dyDescent="0.25">
      <c r="C48" s="223" t="s">
        <v>9</v>
      </c>
      <c r="D48" s="224" t="s">
        <v>511</v>
      </c>
      <c r="E48" s="225"/>
      <c r="F48" s="225"/>
      <c r="G48" s="225"/>
      <c r="H48" s="225"/>
      <c r="I48" s="226"/>
    </row>
    <row r="49" spans="3:9" x14ac:dyDescent="0.25">
      <c r="C49" s="220"/>
      <c r="D49" s="221"/>
      <c r="E49" s="221"/>
      <c r="F49" s="221"/>
      <c r="G49" s="221"/>
      <c r="H49" s="221"/>
      <c r="I49" s="222"/>
    </row>
    <row r="50" spans="3:9" x14ac:dyDescent="0.25">
      <c r="C50" s="220"/>
      <c r="D50" s="245"/>
      <c r="E50" s="246" t="s">
        <v>512</v>
      </c>
      <c r="F50" s="247" t="s">
        <v>506</v>
      </c>
      <c r="G50" s="248">
        <v>1410</v>
      </c>
      <c r="H50" s="249" t="s">
        <v>12</v>
      </c>
      <c r="I50" s="222"/>
    </row>
    <row r="51" spans="3:9" x14ac:dyDescent="0.25">
      <c r="C51" s="220"/>
      <c r="D51" s="221"/>
      <c r="E51" s="221"/>
      <c r="F51" s="221"/>
      <c r="G51" s="221"/>
      <c r="H51" s="221"/>
      <c r="I51" s="222"/>
    </row>
    <row r="52" spans="3:9" x14ac:dyDescent="0.25">
      <c r="C52" s="228" t="s">
        <v>513</v>
      </c>
      <c r="D52" s="229" t="s">
        <v>514</v>
      </c>
      <c r="E52" s="221"/>
      <c r="F52" s="221"/>
      <c r="G52" s="221"/>
      <c r="H52" s="221"/>
      <c r="I52" s="222"/>
    </row>
    <row r="53" spans="3:9" x14ac:dyDescent="0.25">
      <c r="C53" s="228"/>
      <c r="D53" s="230" t="s">
        <v>515</v>
      </c>
      <c r="E53" s="230"/>
      <c r="F53" s="230" t="s">
        <v>502</v>
      </c>
      <c r="G53" s="221"/>
      <c r="H53" s="230"/>
      <c r="I53" s="250"/>
    </row>
    <row r="54" spans="3:9" x14ac:dyDescent="0.25">
      <c r="C54" s="228"/>
      <c r="D54" s="231">
        <f>G50</f>
        <v>1410</v>
      </c>
      <c r="E54" s="230" t="s">
        <v>505</v>
      </c>
      <c r="F54" s="251">
        <v>6</v>
      </c>
      <c r="G54" s="232" t="s">
        <v>506</v>
      </c>
      <c r="H54" s="231">
        <f>ROUND(D54*F54,2)</f>
        <v>8460</v>
      </c>
      <c r="I54" s="252" t="s">
        <v>6</v>
      </c>
    </row>
    <row r="55" spans="3:9" x14ac:dyDescent="0.25">
      <c r="C55" s="228"/>
      <c r="D55" s="229"/>
      <c r="E55" s="221"/>
      <c r="F55" s="221"/>
      <c r="G55" s="221"/>
      <c r="H55" s="221"/>
      <c r="I55" s="222"/>
    </row>
    <row r="56" spans="3:9" x14ac:dyDescent="0.25">
      <c r="C56" s="228"/>
      <c r="D56" s="230" t="s">
        <v>516</v>
      </c>
      <c r="E56" s="230"/>
      <c r="F56" s="230" t="s">
        <v>517</v>
      </c>
      <c r="G56" s="221"/>
      <c r="H56" s="230"/>
      <c r="I56" s="250"/>
    </row>
    <row r="57" spans="3:9" x14ac:dyDescent="0.25">
      <c r="C57" s="228"/>
      <c r="D57" s="231">
        <f>H54</f>
        <v>8460</v>
      </c>
      <c r="E57" s="230" t="s">
        <v>505</v>
      </c>
      <c r="F57" s="251">
        <v>0.2</v>
      </c>
      <c r="G57" s="232" t="s">
        <v>506</v>
      </c>
      <c r="H57" s="234">
        <f>ROUND(D57*F57,2)</f>
        <v>1692</v>
      </c>
      <c r="I57" s="253" t="s">
        <v>11</v>
      </c>
    </row>
    <row r="58" spans="3:9" x14ac:dyDescent="0.25">
      <c r="C58" s="220"/>
      <c r="D58" s="221"/>
      <c r="E58" s="221"/>
      <c r="F58" s="221"/>
      <c r="G58" s="221"/>
      <c r="H58" s="221"/>
      <c r="I58" s="222"/>
    </row>
    <row r="59" spans="3:9" x14ac:dyDescent="0.25">
      <c r="C59" s="228" t="s">
        <v>518</v>
      </c>
      <c r="D59" s="229" t="s">
        <v>519</v>
      </c>
      <c r="E59" s="221"/>
      <c r="F59" s="221"/>
      <c r="G59" s="221"/>
      <c r="H59" s="254"/>
      <c r="I59" s="250"/>
    </row>
    <row r="60" spans="3:9" x14ac:dyDescent="0.25">
      <c r="C60" s="227"/>
      <c r="D60" s="231"/>
      <c r="E60" s="230"/>
      <c r="F60" s="230"/>
      <c r="G60" s="255" t="s">
        <v>520</v>
      </c>
      <c r="H60" s="255"/>
      <c r="I60" s="250"/>
    </row>
    <row r="61" spans="3:9" x14ac:dyDescent="0.25">
      <c r="C61" s="227"/>
      <c r="D61" s="231" t="s">
        <v>521</v>
      </c>
      <c r="E61" s="230"/>
      <c r="F61" s="230" t="s">
        <v>522</v>
      </c>
      <c r="G61" s="232"/>
      <c r="H61" s="231" t="s">
        <v>523</v>
      </c>
      <c r="I61" s="250"/>
    </row>
    <row r="62" spans="3:9" x14ac:dyDescent="0.25">
      <c r="C62" s="227"/>
      <c r="D62" s="231">
        <f>H57</f>
        <v>1692</v>
      </c>
      <c r="E62" s="230" t="s">
        <v>505</v>
      </c>
      <c r="F62" s="231">
        <v>1.5</v>
      </c>
      <c r="G62" s="232" t="s">
        <v>506</v>
      </c>
      <c r="H62" s="231">
        <f>ROUND(D62*F62,2)</f>
        <v>2538</v>
      </c>
      <c r="I62" s="252" t="s">
        <v>524</v>
      </c>
    </row>
    <row r="63" spans="3:9" x14ac:dyDescent="0.25">
      <c r="C63" s="220"/>
      <c r="D63" s="256" t="str">
        <f>H61</f>
        <v>Compra, Esc. e Carga (t)</v>
      </c>
      <c r="E63" s="221"/>
      <c r="F63" s="256" t="s">
        <v>525</v>
      </c>
      <c r="G63" s="230"/>
      <c r="H63" s="230" t="s">
        <v>526</v>
      </c>
      <c r="I63" s="250"/>
    </row>
    <row r="64" spans="3:9" x14ac:dyDescent="0.25">
      <c r="C64" s="257"/>
      <c r="D64" s="231">
        <f>H62</f>
        <v>2538</v>
      </c>
      <c r="E64" s="230"/>
      <c r="F64" s="231">
        <v>1.27</v>
      </c>
      <c r="G64" s="230" t="s">
        <v>527</v>
      </c>
      <c r="H64" s="251">
        <v>30</v>
      </c>
      <c r="I64" s="250"/>
    </row>
    <row r="65" spans="3:9" x14ac:dyDescent="0.25">
      <c r="C65" s="257"/>
      <c r="D65" s="242"/>
      <c r="E65" s="230"/>
      <c r="F65" s="231"/>
      <c r="G65" s="230"/>
      <c r="H65" s="251"/>
      <c r="I65" s="250"/>
    </row>
    <row r="66" spans="3:9" x14ac:dyDescent="0.25">
      <c r="C66" s="257"/>
      <c r="D66" s="254" t="s">
        <v>528</v>
      </c>
      <c r="E66" s="232" t="s">
        <v>506</v>
      </c>
      <c r="F66" s="258">
        <f>ROUND(D64*F64*H64,2)</f>
        <v>96697.8</v>
      </c>
      <c r="G66" s="244" t="s">
        <v>529</v>
      </c>
      <c r="H66" s="254"/>
      <c r="I66" s="250"/>
    </row>
    <row r="67" spans="3:9" x14ac:dyDescent="0.25">
      <c r="C67" s="220"/>
      <c r="D67" s="221"/>
      <c r="E67" s="221"/>
      <c r="F67" s="221"/>
      <c r="G67" s="221"/>
      <c r="H67" s="221"/>
      <c r="I67" s="222"/>
    </row>
    <row r="68" spans="3:9" x14ac:dyDescent="0.25">
      <c r="C68" s="228" t="s">
        <v>530</v>
      </c>
      <c r="D68" s="229" t="s">
        <v>531</v>
      </c>
      <c r="E68" s="221"/>
      <c r="F68" s="221"/>
      <c r="G68" s="221"/>
      <c r="H68" s="221"/>
      <c r="I68" s="222"/>
    </row>
    <row r="69" spans="3:9" x14ac:dyDescent="0.25">
      <c r="C69" s="220"/>
      <c r="D69" s="230"/>
      <c r="E69" s="231" t="s">
        <v>532</v>
      </c>
      <c r="F69" s="232" t="s">
        <v>506</v>
      </c>
      <c r="G69" s="234">
        <f>H54</f>
        <v>8460</v>
      </c>
      <c r="H69" s="244" t="s">
        <v>6</v>
      </c>
      <c r="I69" s="222"/>
    </row>
    <row r="70" spans="3:9" x14ac:dyDescent="0.25">
      <c r="C70" s="220"/>
      <c r="D70" s="221"/>
      <c r="E70" s="221"/>
      <c r="F70" s="221"/>
      <c r="G70" s="221"/>
      <c r="H70" s="221"/>
      <c r="I70" s="222"/>
    </row>
    <row r="71" spans="3:9" x14ac:dyDescent="0.25">
      <c r="C71" s="228" t="s">
        <v>533</v>
      </c>
      <c r="D71" s="229" t="s">
        <v>534</v>
      </c>
      <c r="E71" s="221"/>
      <c r="F71" s="221"/>
      <c r="G71" s="221"/>
      <c r="H71" s="221"/>
      <c r="I71" s="222"/>
    </row>
    <row r="72" spans="3:9" x14ac:dyDescent="0.25">
      <c r="C72" s="228"/>
      <c r="D72" s="230" t="s">
        <v>11</v>
      </c>
      <c r="E72" s="230"/>
      <c r="F72" s="230" t="s">
        <v>535</v>
      </c>
      <c r="G72" s="221"/>
      <c r="H72" s="221"/>
      <c r="I72" s="222"/>
    </row>
    <row r="73" spans="3:9" x14ac:dyDescent="0.25">
      <c r="C73" s="228"/>
      <c r="D73" s="231">
        <f>G69</f>
        <v>8460</v>
      </c>
      <c r="E73" s="230" t="s">
        <v>505</v>
      </c>
      <c r="F73" s="231">
        <v>0.2</v>
      </c>
      <c r="G73" s="232"/>
      <c r="H73" s="221"/>
      <c r="I73" s="222"/>
    </row>
    <row r="74" spans="3:9" x14ac:dyDescent="0.25">
      <c r="C74" s="228"/>
      <c r="D74" s="230" t="s">
        <v>536</v>
      </c>
      <c r="E74" s="232" t="s">
        <v>506</v>
      </c>
      <c r="F74" s="258">
        <f>ROUND(D73*F73,2)</f>
        <v>1692</v>
      </c>
      <c r="G74" s="244" t="s">
        <v>11</v>
      </c>
      <c r="H74" s="221"/>
      <c r="I74" s="222"/>
    </row>
    <row r="75" spans="3:9" x14ac:dyDescent="0.25">
      <c r="C75" s="220"/>
      <c r="D75" s="221"/>
      <c r="E75" s="221"/>
      <c r="F75" s="221"/>
      <c r="G75" s="221"/>
      <c r="H75" s="221"/>
      <c r="I75" s="222"/>
    </row>
    <row r="76" spans="3:9" x14ac:dyDescent="0.25">
      <c r="C76" s="228" t="s">
        <v>537</v>
      </c>
      <c r="D76" s="229" t="s">
        <v>538</v>
      </c>
      <c r="E76" s="221"/>
      <c r="F76" s="221"/>
      <c r="G76" s="221"/>
      <c r="H76" s="221"/>
      <c r="I76" s="222"/>
    </row>
    <row r="77" spans="3:9" x14ac:dyDescent="0.25">
      <c r="C77" s="220"/>
      <c r="D77" s="230" t="s">
        <v>539</v>
      </c>
      <c r="E77" s="221"/>
      <c r="F77" s="230" t="s">
        <v>535</v>
      </c>
      <c r="G77" s="221"/>
      <c r="H77" s="221"/>
      <c r="I77" s="222"/>
    </row>
    <row r="78" spans="3:9" x14ac:dyDescent="0.25">
      <c r="C78" s="220"/>
      <c r="D78" s="231">
        <f>G69</f>
        <v>8460</v>
      </c>
      <c r="E78" s="230" t="s">
        <v>505</v>
      </c>
      <c r="F78" s="231">
        <v>0.2</v>
      </c>
      <c r="G78" s="221"/>
      <c r="H78" s="221"/>
      <c r="I78" s="222"/>
    </row>
    <row r="79" spans="3:9" x14ac:dyDescent="0.25">
      <c r="C79" s="220"/>
      <c r="D79" s="230" t="s">
        <v>540</v>
      </c>
      <c r="E79" s="230" t="s">
        <v>506</v>
      </c>
      <c r="F79" s="258">
        <f>ROUND(D78*F78,2)</f>
        <v>1692</v>
      </c>
      <c r="G79" s="244" t="s">
        <v>6</v>
      </c>
      <c r="H79" s="221"/>
      <c r="I79" s="222"/>
    </row>
    <row r="80" spans="3:9" x14ac:dyDescent="0.25">
      <c r="C80" s="220"/>
      <c r="D80" s="230"/>
      <c r="E80" s="230"/>
      <c r="F80" s="234"/>
      <c r="G80" s="244"/>
      <c r="H80" s="221"/>
      <c r="I80" s="222"/>
    </row>
    <row r="81" spans="3:9" x14ac:dyDescent="0.25">
      <c r="C81" s="228" t="s">
        <v>541</v>
      </c>
      <c r="D81" s="229" t="s">
        <v>200</v>
      </c>
      <c r="E81" s="221"/>
      <c r="F81" s="221"/>
      <c r="G81" s="221"/>
      <c r="H81" s="221"/>
      <c r="I81" s="222"/>
    </row>
    <row r="82" spans="3:9" x14ac:dyDescent="0.25">
      <c r="C82" s="220"/>
      <c r="D82" s="221"/>
      <c r="E82" s="255" t="s">
        <v>542</v>
      </c>
      <c r="F82" s="232" t="s">
        <v>506</v>
      </c>
      <c r="G82" s="234">
        <f>H57</f>
        <v>1692</v>
      </c>
      <c r="H82" s="244" t="s">
        <v>11</v>
      </c>
      <c r="I82" s="222"/>
    </row>
    <row r="83" spans="3:9" x14ac:dyDescent="0.25">
      <c r="C83" s="220"/>
      <c r="D83" s="221"/>
      <c r="E83" s="221"/>
      <c r="F83" s="221"/>
      <c r="G83" s="221"/>
      <c r="H83" s="221"/>
      <c r="I83" s="222"/>
    </row>
    <row r="84" spans="3:9" x14ac:dyDescent="0.25">
      <c r="C84" s="223" t="s">
        <v>10</v>
      </c>
      <c r="D84" s="224" t="s">
        <v>543</v>
      </c>
      <c r="E84" s="225"/>
      <c r="F84" s="225"/>
      <c r="G84" s="225"/>
      <c r="H84" s="225"/>
      <c r="I84" s="226"/>
    </row>
    <row r="85" spans="3:9" x14ac:dyDescent="0.25">
      <c r="C85" s="220"/>
      <c r="D85" s="221"/>
      <c r="E85" s="221"/>
      <c r="F85" s="221"/>
      <c r="G85" s="221"/>
      <c r="H85" s="221"/>
      <c r="I85" s="222"/>
    </row>
    <row r="86" spans="3:9" x14ac:dyDescent="0.25">
      <c r="C86" s="228" t="s">
        <v>544</v>
      </c>
      <c r="D86" s="691" t="s">
        <v>545</v>
      </c>
      <c r="E86" s="691"/>
      <c r="F86" s="691"/>
      <c r="G86" s="691"/>
      <c r="H86" s="691"/>
      <c r="I86" s="692"/>
    </row>
    <row r="87" spans="3:9" x14ac:dyDescent="0.25">
      <c r="C87" s="227"/>
      <c r="D87" s="259"/>
      <c r="E87" s="254" t="s">
        <v>546</v>
      </c>
      <c r="F87" s="232" t="s">
        <v>506</v>
      </c>
      <c r="G87" s="231">
        <v>8</v>
      </c>
      <c r="H87" s="259" t="s">
        <v>12</v>
      </c>
      <c r="I87" s="250"/>
    </row>
    <row r="88" spans="3:9" x14ac:dyDescent="0.25">
      <c r="C88" s="227"/>
      <c r="D88" s="259"/>
      <c r="E88" s="254" t="s">
        <v>547</v>
      </c>
      <c r="F88" s="232" t="s">
        <v>506</v>
      </c>
      <c r="G88" s="260">
        <v>2</v>
      </c>
      <c r="H88" s="259" t="s">
        <v>548</v>
      </c>
      <c r="I88" s="250"/>
    </row>
    <row r="89" spans="3:9" x14ac:dyDescent="0.25">
      <c r="C89" s="227"/>
      <c r="D89" s="254" t="s">
        <v>549</v>
      </c>
      <c r="E89" s="232" t="s">
        <v>506</v>
      </c>
      <c r="F89" s="261">
        <f>ROUND(G87*G88,2)</f>
        <v>16</v>
      </c>
      <c r="G89" s="261" t="s">
        <v>12</v>
      </c>
      <c r="H89" s="259"/>
      <c r="I89" s="252"/>
    </row>
    <row r="90" spans="3:9" x14ac:dyDescent="0.25">
      <c r="C90" s="227"/>
      <c r="D90" s="259"/>
      <c r="E90" s="259"/>
      <c r="F90" s="259"/>
      <c r="G90" s="259"/>
      <c r="H90" s="259"/>
      <c r="I90" s="250"/>
    </row>
    <row r="91" spans="3:9" x14ac:dyDescent="0.25">
      <c r="C91" s="228" t="s">
        <v>550</v>
      </c>
      <c r="D91" s="691" t="s">
        <v>551</v>
      </c>
      <c r="E91" s="691"/>
      <c r="F91" s="691"/>
      <c r="G91" s="691"/>
      <c r="H91" s="691"/>
      <c r="I91" s="692"/>
    </row>
    <row r="92" spans="3:9" x14ac:dyDescent="0.25">
      <c r="C92" s="227"/>
      <c r="D92" s="259"/>
      <c r="E92" s="254" t="s">
        <v>552</v>
      </c>
      <c r="F92" s="232" t="s">
        <v>506</v>
      </c>
      <c r="G92" s="260">
        <f>G88</f>
        <v>2</v>
      </c>
      <c r="H92" s="259" t="s">
        <v>548</v>
      </c>
      <c r="I92" s="250"/>
    </row>
    <row r="93" spans="3:9" x14ac:dyDescent="0.25">
      <c r="C93" s="227"/>
      <c r="D93" s="259"/>
      <c r="E93" s="254" t="s">
        <v>553</v>
      </c>
      <c r="F93" s="232" t="s">
        <v>506</v>
      </c>
      <c r="G93" s="231">
        <v>2</v>
      </c>
      <c r="H93" s="259" t="s">
        <v>548</v>
      </c>
      <c r="I93" s="250"/>
    </row>
    <row r="94" spans="3:9" x14ac:dyDescent="0.25">
      <c r="C94" s="227"/>
      <c r="D94" s="254"/>
      <c r="E94" s="255" t="s">
        <v>554</v>
      </c>
      <c r="F94" s="232" t="s">
        <v>506</v>
      </c>
      <c r="G94" s="261">
        <f>ROUND(G92*G93,2)</f>
        <v>4</v>
      </c>
      <c r="H94" s="261" t="s">
        <v>548</v>
      </c>
      <c r="I94" s="252"/>
    </row>
    <row r="95" spans="3:9" ht="26.25" customHeight="1" x14ac:dyDescent="0.25">
      <c r="C95" s="228" t="s">
        <v>555</v>
      </c>
      <c r="D95" s="693" t="s">
        <v>556</v>
      </c>
      <c r="E95" s="693"/>
      <c r="F95" s="693"/>
      <c r="G95" s="693"/>
      <c r="H95" s="693"/>
      <c r="I95" s="694"/>
    </row>
    <row r="96" spans="3:9" x14ac:dyDescent="0.25">
      <c r="C96" s="262" t="s">
        <v>557</v>
      </c>
      <c r="D96" s="263"/>
      <c r="E96" s="263"/>
      <c r="F96" s="263"/>
      <c r="G96" s="263"/>
      <c r="H96" s="263"/>
      <c r="I96" s="264"/>
    </row>
    <row r="97" spans="3:9" x14ac:dyDescent="0.25">
      <c r="C97" s="227"/>
      <c r="D97" s="265"/>
      <c r="E97" s="266" t="s">
        <v>558</v>
      </c>
      <c r="F97" s="267" t="s">
        <v>506</v>
      </c>
      <c r="G97" s="268">
        <v>8</v>
      </c>
      <c r="H97" s="269" t="s">
        <v>12</v>
      </c>
      <c r="I97" s="252"/>
    </row>
    <row r="98" spans="3:9" x14ac:dyDescent="0.25">
      <c r="C98" s="227"/>
      <c r="D98" s="231" t="str">
        <f>E97</f>
        <v>ΣExtensão total do meio-fio (m)</v>
      </c>
      <c r="E98" s="230"/>
      <c r="F98" s="230" t="s">
        <v>559</v>
      </c>
      <c r="G98" s="230"/>
      <c r="H98" s="230"/>
      <c r="I98" s="252"/>
    </row>
    <row r="99" spans="3:9" x14ac:dyDescent="0.25">
      <c r="C99" s="227"/>
      <c r="D99" s="231">
        <f>G97</f>
        <v>8</v>
      </c>
      <c r="E99" s="230" t="s">
        <v>505</v>
      </c>
      <c r="F99" s="230">
        <v>2</v>
      </c>
      <c r="G99" s="232" t="s">
        <v>506</v>
      </c>
      <c r="H99" s="234">
        <f>ROUND(D99*F99,2)</f>
        <v>16</v>
      </c>
      <c r="I99" s="253" t="s">
        <v>12</v>
      </c>
    </row>
    <row r="100" spans="3:9" x14ac:dyDescent="0.25">
      <c r="C100" s="270"/>
      <c r="D100" s="242"/>
      <c r="E100" s="242"/>
      <c r="F100" s="242"/>
      <c r="G100" s="242"/>
      <c r="H100" s="242"/>
      <c r="I100" s="243"/>
    </row>
    <row r="101" spans="3:9" x14ac:dyDescent="0.25">
      <c r="C101" s="223" t="s">
        <v>478</v>
      </c>
      <c r="D101" s="224" t="s">
        <v>560</v>
      </c>
      <c r="E101" s="225"/>
      <c r="F101" s="225"/>
      <c r="G101" s="225"/>
      <c r="H101" s="225"/>
      <c r="I101" s="226"/>
    </row>
    <row r="102" spans="3:9" ht="27" customHeight="1" x14ac:dyDescent="0.25">
      <c r="C102" s="228" t="s">
        <v>561</v>
      </c>
      <c r="D102" s="693" t="s">
        <v>556</v>
      </c>
      <c r="E102" s="693"/>
      <c r="F102" s="693"/>
      <c r="G102" s="693"/>
      <c r="H102" s="693"/>
      <c r="I102" s="694"/>
    </row>
    <row r="103" spans="3:9" x14ac:dyDescent="0.25">
      <c r="C103" s="262" t="s">
        <v>557</v>
      </c>
      <c r="D103" s="263"/>
      <c r="E103" s="263"/>
      <c r="F103" s="263"/>
      <c r="G103" s="263"/>
      <c r="H103" s="263"/>
      <c r="I103" s="264"/>
    </row>
    <row r="104" spans="3:9" x14ac:dyDescent="0.25">
      <c r="C104" s="227"/>
      <c r="D104" s="265"/>
      <c r="E104" s="266" t="s">
        <v>558</v>
      </c>
      <c r="F104" s="267" t="s">
        <v>506</v>
      </c>
      <c r="G104" s="268">
        <f>G114</f>
        <v>1410</v>
      </c>
      <c r="H104" s="269" t="s">
        <v>12</v>
      </c>
      <c r="I104" s="252"/>
    </row>
    <row r="105" spans="3:9" x14ac:dyDescent="0.25">
      <c r="C105" s="227"/>
      <c r="D105" s="231" t="str">
        <f>E104</f>
        <v>ΣExtensão total do meio-fio (m)</v>
      </c>
      <c r="E105" s="230"/>
      <c r="F105" s="230" t="s">
        <v>559</v>
      </c>
      <c r="G105" s="230"/>
      <c r="H105" s="230"/>
      <c r="I105" s="252"/>
    </row>
    <row r="106" spans="3:9" x14ac:dyDescent="0.25">
      <c r="C106" s="227"/>
      <c r="D106" s="231">
        <f>G104</f>
        <v>1410</v>
      </c>
      <c r="E106" s="230" t="s">
        <v>505</v>
      </c>
      <c r="F106" s="230">
        <v>2</v>
      </c>
      <c r="G106" s="232" t="s">
        <v>506</v>
      </c>
      <c r="H106" s="258">
        <f>ROUND(D106*F106,2)</f>
        <v>2820</v>
      </c>
      <c r="I106" s="253" t="s">
        <v>12</v>
      </c>
    </row>
    <row r="107" spans="3:9" x14ac:dyDescent="0.25">
      <c r="C107" s="227"/>
      <c r="D107" s="230"/>
      <c r="E107" s="230"/>
      <c r="F107" s="230"/>
      <c r="G107" s="230"/>
      <c r="H107" s="230"/>
      <c r="I107" s="252"/>
    </row>
    <row r="108" spans="3:9" x14ac:dyDescent="0.25">
      <c r="C108" s="228" t="s">
        <v>562</v>
      </c>
      <c r="D108" s="271" t="s">
        <v>563</v>
      </c>
      <c r="E108" s="272"/>
      <c r="F108" s="272"/>
      <c r="G108" s="272"/>
      <c r="H108" s="272"/>
      <c r="I108" s="273"/>
    </row>
    <row r="109" spans="3:9" x14ac:dyDescent="0.25">
      <c r="C109" s="262" t="s">
        <v>564</v>
      </c>
      <c r="D109" s="259"/>
      <c r="E109" s="232"/>
      <c r="F109" s="232"/>
      <c r="G109" s="231"/>
      <c r="H109" s="221"/>
      <c r="I109" s="222"/>
    </row>
    <row r="110" spans="3:9" x14ac:dyDescent="0.25">
      <c r="C110" s="227"/>
      <c r="D110" s="265"/>
      <c r="E110" s="265" t="s">
        <v>565</v>
      </c>
      <c r="F110" s="267" t="s">
        <v>506</v>
      </c>
      <c r="G110" s="268">
        <f>G104</f>
        <v>1410</v>
      </c>
      <c r="H110" s="269" t="s">
        <v>12</v>
      </c>
      <c r="I110" s="252"/>
    </row>
    <row r="111" spans="3:9" x14ac:dyDescent="0.25">
      <c r="C111" s="227"/>
      <c r="D111" s="231" t="str">
        <f>E110</f>
        <v>ΣExtensão total das sarjetas (m)</v>
      </c>
      <c r="E111" s="230"/>
      <c r="F111" s="230" t="s">
        <v>559</v>
      </c>
      <c r="G111" s="230"/>
      <c r="H111" s="230"/>
      <c r="I111" s="252"/>
    </row>
    <row r="112" spans="3:9" x14ac:dyDescent="0.25">
      <c r="C112" s="227"/>
      <c r="D112" s="231">
        <f>G110</f>
        <v>1410</v>
      </c>
      <c r="E112" s="230" t="s">
        <v>505</v>
      </c>
      <c r="F112" s="230">
        <v>2</v>
      </c>
      <c r="G112" s="232" t="s">
        <v>506</v>
      </c>
      <c r="H112" s="258">
        <f>ROUND(D112*F112,2)</f>
        <v>2820</v>
      </c>
      <c r="I112" s="253" t="s">
        <v>12</v>
      </c>
    </row>
    <row r="113" spans="3:9" x14ac:dyDescent="0.25">
      <c r="C113" s="274"/>
      <c r="D113" s="254"/>
      <c r="E113" s="232"/>
      <c r="F113" s="272"/>
      <c r="G113" s="272"/>
      <c r="H113" s="221"/>
      <c r="I113" s="222"/>
    </row>
    <row r="114" spans="3:9" x14ac:dyDescent="0.25">
      <c r="C114" s="257"/>
      <c r="D114" s="245"/>
      <c r="E114" s="246" t="s">
        <v>512</v>
      </c>
      <c r="F114" s="247" t="s">
        <v>506</v>
      </c>
      <c r="G114" s="275">
        <f>G50</f>
        <v>1410</v>
      </c>
      <c r="H114" s="249" t="s">
        <v>12</v>
      </c>
      <c r="I114" s="250"/>
    </row>
    <row r="115" spans="3:9" x14ac:dyDescent="0.25">
      <c r="C115" s="257"/>
      <c r="D115" s="254"/>
      <c r="E115" s="232"/>
      <c r="F115" s="272"/>
      <c r="G115" s="272"/>
      <c r="H115" s="254"/>
      <c r="I115" s="250"/>
    </row>
    <row r="116" spans="3:9" x14ac:dyDescent="0.25">
      <c r="C116" s="228" t="s">
        <v>566</v>
      </c>
      <c r="D116" s="271" t="s">
        <v>484</v>
      </c>
      <c r="E116" s="272"/>
      <c r="F116" s="272"/>
      <c r="G116" s="272"/>
      <c r="H116" s="272"/>
      <c r="I116" s="273"/>
    </row>
    <row r="117" spans="3:9" x14ac:dyDescent="0.25">
      <c r="C117" s="228"/>
      <c r="D117" s="230" t="s">
        <v>515</v>
      </c>
      <c r="E117" s="230"/>
      <c r="F117" s="230" t="s">
        <v>502</v>
      </c>
      <c r="G117" s="232"/>
      <c r="H117" s="230" t="s">
        <v>567</v>
      </c>
      <c r="I117" s="250"/>
    </row>
    <row r="118" spans="3:9" x14ac:dyDescent="0.25">
      <c r="C118" s="228"/>
      <c r="D118" s="231">
        <f>G114</f>
        <v>1410</v>
      </c>
      <c r="E118" s="230" t="s">
        <v>505</v>
      </c>
      <c r="F118" s="231">
        <v>6</v>
      </c>
      <c r="G118" s="232" t="s">
        <v>505</v>
      </c>
      <c r="H118" s="231">
        <v>0.05</v>
      </c>
      <c r="I118" s="252"/>
    </row>
    <row r="119" spans="3:9" x14ac:dyDescent="0.25">
      <c r="C119" s="228"/>
      <c r="D119" s="230" t="s">
        <v>568</v>
      </c>
      <c r="E119" s="230"/>
      <c r="F119" s="230" t="s">
        <v>569</v>
      </c>
      <c r="G119" s="232"/>
      <c r="H119" s="230" t="s">
        <v>570</v>
      </c>
      <c r="I119" s="250"/>
    </row>
    <row r="120" spans="3:9" x14ac:dyDescent="0.25">
      <c r="C120" s="228" t="s">
        <v>506</v>
      </c>
      <c r="D120" s="231">
        <f>ROUND(D118*F118*H118,2)</f>
        <v>423</v>
      </c>
      <c r="E120" s="230" t="s">
        <v>505</v>
      </c>
      <c r="F120" s="231">
        <v>2.15</v>
      </c>
      <c r="G120" s="232" t="s">
        <v>505</v>
      </c>
      <c r="H120" s="230">
        <v>7.0000000000000007E-2</v>
      </c>
      <c r="I120" s="250"/>
    </row>
    <row r="121" spans="3:9" x14ac:dyDescent="0.25">
      <c r="C121" s="228"/>
      <c r="D121" s="230"/>
      <c r="E121" s="230"/>
      <c r="F121" s="230"/>
      <c r="G121" s="232"/>
      <c r="H121" s="231"/>
      <c r="I121" s="250"/>
    </row>
    <row r="122" spans="3:9" x14ac:dyDescent="0.25">
      <c r="C122" s="270"/>
      <c r="D122" s="242"/>
      <c r="E122" s="242"/>
      <c r="F122" s="272" t="s">
        <v>506</v>
      </c>
      <c r="G122" s="234">
        <f>ROUND(D120*F120*H120,2)</f>
        <v>63.66</v>
      </c>
      <c r="H122" s="244" t="s">
        <v>485</v>
      </c>
      <c r="I122" s="250"/>
    </row>
    <row r="123" spans="3:9" x14ac:dyDescent="0.25">
      <c r="C123" s="228"/>
      <c r="D123" s="230"/>
      <c r="E123" s="230"/>
      <c r="F123" s="230"/>
      <c r="G123" s="232"/>
      <c r="H123" s="231"/>
      <c r="I123" s="250"/>
    </row>
    <row r="124" spans="3:9" x14ac:dyDescent="0.25">
      <c r="C124" s="228" t="s">
        <v>483</v>
      </c>
      <c r="D124" s="271" t="s">
        <v>487</v>
      </c>
      <c r="E124" s="272"/>
      <c r="F124" s="272"/>
      <c r="G124" s="272"/>
      <c r="H124" s="272"/>
      <c r="I124" s="273"/>
    </row>
    <row r="125" spans="3:9" x14ac:dyDescent="0.25">
      <c r="C125" s="228"/>
      <c r="D125" s="230" t="s">
        <v>515</v>
      </c>
      <c r="E125" s="230"/>
      <c r="F125" s="230" t="s">
        <v>502</v>
      </c>
      <c r="G125" s="232"/>
      <c r="H125" s="230" t="s">
        <v>570</v>
      </c>
      <c r="I125" s="250"/>
    </row>
    <row r="126" spans="3:9" x14ac:dyDescent="0.25">
      <c r="C126" s="228"/>
      <c r="D126" s="231">
        <f>G114</f>
        <v>1410</v>
      </c>
      <c r="E126" s="230" t="s">
        <v>505</v>
      </c>
      <c r="F126" s="231">
        <v>6</v>
      </c>
      <c r="G126" s="232" t="s">
        <v>505</v>
      </c>
      <c r="H126" s="230">
        <v>1.1999999999999999E-3</v>
      </c>
      <c r="I126" s="252"/>
    </row>
    <row r="127" spans="3:9" x14ac:dyDescent="0.25">
      <c r="C127" s="228"/>
      <c r="D127" s="230"/>
      <c r="E127" s="230"/>
      <c r="F127" s="230"/>
      <c r="G127" s="232"/>
      <c r="H127" s="231"/>
      <c r="I127" s="250"/>
    </row>
    <row r="128" spans="3:9" x14ac:dyDescent="0.25">
      <c r="C128" s="270"/>
      <c r="D128" s="242"/>
      <c r="E128" s="242"/>
      <c r="F128" s="272" t="s">
        <v>506</v>
      </c>
      <c r="G128" s="234">
        <f>ROUND(D126*F126*H126,2)</f>
        <v>10.15</v>
      </c>
      <c r="H128" s="244" t="s">
        <v>485</v>
      </c>
      <c r="I128" s="250"/>
    </row>
    <row r="129" spans="3:9" x14ac:dyDescent="0.25">
      <c r="C129" s="228"/>
      <c r="D129" s="230"/>
      <c r="E129" s="230"/>
      <c r="F129" s="230"/>
      <c r="G129" s="232"/>
      <c r="H129" s="231"/>
      <c r="I129" s="250"/>
    </row>
    <row r="130" spans="3:9" x14ac:dyDescent="0.25">
      <c r="C130" s="228" t="s">
        <v>486</v>
      </c>
      <c r="D130" s="271" t="s">
        <v>489</v>
      </c>
      <c r="E130" s="272"/>
      <c r="F130" s="272"/>
      <c r="G130" s="272"/>
      <c r="H130" s="272"/>
      <c r="I130" s="250"/>
    </row>
    <row r="131" spans="3:9" x14ac:dyDescent="0.25">
      <c r="C131" s="228"/>
      <c r="D131" s="230" t="s">
        <v>515</v>
      </c>
      <c r="E131" s="230"/>
      <c r="F131" s="230" t="s">
        <v>502</v>
      </c>
      <c r="G131" s="232"/>
      <c r="H131" s="230" t="s">
        <v>570</v>
      </c>
      <c r="I131" s="250"/>
    </row>
    <row r="132" spans="3:9" x14ac:dyDescent="0.25">
      <c r="C132" s="228"/>
      <c r="D132" s="231">
        <f>G114</f>
        <v>1410</v>
      </c>
      <c r="E132" s="230" t="s">
        <v>505</v>
      </c>
      <c r="F132" s="231">
        <v>6</v>
      </c>
      <c r="G132" s="232" t="s">
        <v>505</v>
      </c>
      <c r="H132" s="230">
        <v>4.4999999999999999E-4</v>
      </c>
      <c r="I132" s="250"/>
    </row>
    <row r="133" spans="3:9" x14ac:dyDescent="0.25">
      <c r="C133" s="228"/>
      <c r="D133" s="230"/>
      <c r="E133" s="230"/>
      <c r="F133" s="230"/>
      <c r="G133" s="232"/>
      <c r="H133" s="231"/>
      <c r="I133" s="250"/>
    </row>
    <row r="134" spans="3:9" x14ac:dyDescent="0.25">
      <c r="C134" s="270"/>
      <c r="D134" s="242"/>
      <c r="E134" s="242"/>
      <c r="F134" s="272" t="s">
        <v>506</v>
      </c>
      <c r="G134" s="234">
        <f>ROUND(D132*F132*H132,2)</f>
        <v>3.81</v>
      </c>
      <c r="H134" s="244" t="s">
        <v>485</v>
      </c>
      <c r="I134" s="250"/>
    </row>
    <row r="135" spans="3:9" x14ac:dyDescent="0.25">
      <c r="C135" s="228"/>
      <c r="D135" s="230"/>
      <c r="E135" s="230"/>
      <c r="F135" s="230"/>
      <c r="G135" s="232"/>
      <c r="H135" s="231"/>
      <c r="I135" s="250"/>
    </row>
    <row r="136" spans="3:9" x14ac:dyDescent="0.25">
      <c r="C136" s="228" t="s">
        <v>488</v>
      </c>
      <c r="D136" s="271" t="s">
        <v>491</v>
      </c>
      <c r="E136" s="272"/>
      <c r="F136" s="272"/>
      <c r="G136" s="272"/>
      <c r="H136" s="231"/>
      <c r="I136" s="250"/>
    </row>
    <row r="137" spans="3:9" x14ac:dyDescent="0.25">
      <c r="C137" s="257"/>
      <c r="D137" s="254" t="s">
        <v>484</v>
      </c>
      <c r="E137" s="232" t="s">
        <v>506</v>
      </c>
      <c r="F137" s="234">
        <f>G122</f>
        <v>63.66</v>
      </c>
      <c r="G137" s="244" t="s">
        <v>485</v>
      </c>
      <c r="H137" s="231"/>
      <c r="I137" s="250"/>
    </row>
    <row r="138" spans="3:9" x14ac:dyDescent="0.25">
      <c r="C138" s="228"/>
      <c r="D138" s="230"/>
      <c r="E138" s="230"/>
      <c r="F138" s="230"/>
      <c r="G138" s="232"/>
      <c r="H138" s="231"/>
      <c r="I138" s="250"/>
    </row>
    <row r="139" spans="3:9" x14ac:dyDescent="0.25">
      <c r="C139" s="228" t="s">
        <v>490</v>
      </c>
      <c r="D139" s="271" t="s">
        <v>493</v>
      </c>
      <c r="E139" s="272"/>
      <c r="F139" s="272"/>
      <c r="G139" s="272"/>
      <c r="H139" s="231"/>
      <c r="I139" s="250"/>
    </row>
    <row r="140" spans="3:9" x14ac:dyDescent="0.25">
      <c r="C140" s="257"/>
      <c r="D140" s="254" t="s">
        <v>487</v>
      </c>
      <c r="E140" s="232" t="s">
        <v>506</v>
      </c>
      <c r="F140" s="234">
        <f>G128</f>
        <v>10.15</v>
      </c>
      <c r="G140" s="244" t="s">
        <v>485</v>
      </c>
      <c r="H140" s="231"/>
      <c r="I140" s="250"/>
    </row>
    <row r="141" spans="3:9" x14ac:dyDescent="0.25">
      <c r="C141" s="228"/>
      <c r="D141" s="230"/>
      <c r="E141" s="230"/>
      <c r="F141" s="230"/>
      <c r="G141" s="232"/>
      <c r="H141" s="231"/>
      <c r="I141" s="250"/>
    </row>
    <row r="142" spans="3:9" x14ac:dyDescent="0.25">
      <c r="C142" s="228" t="s">
        <v>492</v>
      </c>
      <c r="D142" s="271" t="s">
        <v>495</v>
      </c>
      <c r="E142" s="272"/>
      <c r="F142" s="272"/>
      <c r="G142" s="272"/>
      <c r="H142" s="231"/>
      <c r="I142" s="250"/>
    </row>
    <row r="143" spans="3:9" x14ac:dyDescent="0.25">
      <c r="C143" s="257"/>
      <c r="D143" s="254" t="s">
        <v>571</v>
      </c>
      <c r="E143" s="232" t="s">
        <v>506</v>
      </c>
      <c r="F143" s="234">
        <f>G134</f>
        <v>3.81</v>
      </c>
      <c r="G143" s="244" t="s">
        <v>485</v>
      </c>
      <c r="H143" s="231"/>
      <c r="I143" s="250"/>
    </row>
    <row r="144" spans="3:9" x14ac:dyDescent="0.25">
      <c r="C144" s="228"/>
      <c r="D144" s="230"/>
      <c r="E144" s="230"/>
      <c r="F144" s="230"/>
      <c r="G144" s="232"/>
      <c r="H144" s="231"/>
      <c r="I144" s="250"/>
    </row>
    <row r="145" spans="3:9" x14ac:dyDescent="0.25">
      <c r="C145" s="228" t="s">
        <v>494</v>
      </c>
      <c r="D145" s="271" t="s">
        <v>204</v>
      </c>
      <c r="E145" s="272"/>
      <c r="F145" s="272"/>
      <c r="G145" s="272"/>
      <c r="H145" s="272"/>
      <c r="I145" s="273"/>
    </row>
    <row r="146" spans="3:9" x14ac:dyDescent="0.25">
      <c r="C146" s="228"/>
      <c r="D146" s="230" t="s">
        <v>515</v>
      </c>
      <c r="E146" s="230"/>
      <c r="F146" s="230" t="s">
        <v>502</v>
      </c>
      <c r="G146" s="221"/>
      <c r="H146" s="230"/>
      <c r="I146" s="250"/>
    </row>
    <row r="147" spans="3:9" x14ac:dyDescent="0.25">
      <c r="C147" s="228"/>
      <c r="D147" s="231">
        <f>G114</f>
        <v>1410</v>
      </c>
      <c r="E147" s="230" t="s">
        <v>505</v>
      </c>
      <c r="F147" s="231">
        <v>6</v>
      </c>
      <c r="G147" s="232" t="s">
        <v>506</v>
      </c>
      <c r="H147" s="258">
        <f>ROUND(D147*F147,2)</f>
        <v>8460</v>
      </c>
      <c r="I147" s="253" t="s">
        <v>6</v>
      </c>
    </row>
    <row r="148" spans="3:9" x14ac:dyDescent="0.25">
      <c r="C148" s="257"/>
      <c r="D148" s="254"/>
      <c r="E148" s="232"/>
      <c r="F148" s="272"/>
      <c r="G148" s="272"/>
      <c r="H148" s="254"/>
      <c r="I148" s="250"/>
    </row>
    <row r="149" spans="3:9" x14ac:dyDescent="0.25">
      <c r="C149" s="228" t="s">
        <v>496</v>
      </c>
      <c r="D149" s="271" t="s">
        <v>498</v>
      </c>
      <c r="E149" s="272"/>
      <c r="F149" s="272"/>
      <c r="G149" s="272"/>
      <c r="H149" s="272"/>
      <c r="I149" s="273"/>
    </row>
    <row r="150" spans="3:9" x14ac:dyDescent="0.25">
      <c r="C150" s="257"/>
      <c r="D150" s="230" t="s">
        <v>515</v>
      </c>
      <c r="E150" s="230"/>
      <c r="F150" s="230" t="s">
        <v>502</v>
      </c>
      <c r="G150" s="221"/>
      <c r="H150" s="230"/>
      <c r="I150" s="250"/>
    </row>
    <row r="151" spans="3:9" x14ac:dyDescent="0.25">
      <c r="C151" s="257"/>
      <c r="D151" s="231">
        <f>D147</f>
        <v>1410</v>
      </c>
      <c r="E151" s="230" t="s">
        <v>505</v>
      </c>
      <c r="F151" s="231">
        <v>6</v>
      </c>
      <c r="G151" s="232" t="s">
        <v>506</v>
      </c>
      <c r="H151" s="258">
        <f>ROUND(D151*F151,2)</f>
        <v>8460</v>
      </c>
      <c r="I151" s="253" t="s">
        <v>6</v>
      </c>
    </row>
    <row r="152" spans="3:9" x14ac:dyDescent="0.25">
      <c r="C152" s="257"/>
      <c r="D152" s="254"/>
      <c r="E152" s="232"/>
      <c r="F152" s="272"/>
      <c r="G152" s="272"/>
      <c r="H152" s="254"/>
      <c r="I152" s="250"/>
    </row>
    <row r="153" spans="3:9" x14ac:dyDescent="0.25">
      <c r="C153" s="228" t="s">
        <v>497</v>
      </c>
      <c r="D153" s="271" t="s">
        <v>499</v>
      </c>
      <c r="E153" s="272"/>
      <c r="F153" s="272"/>
      <c r="G153" s="272"/>
      <c r="H153" s="272"/>
      <c r="I153" s="273"/>
    </row>
    <row r="154" spans="3:9" x14ac:dyDescent="0.25">
      <c r="C154" s="228"/>
      <c r="D154" s="230" t="s">
        <v>516</v>
      </c>
      <c r="E154" s="230"/>
      <c r="F154" s="230" t="s">
        <v>567</v>
      </c>
      <c r="G154" s="232"/>
      <c r="H154" s="231" t="s">
        <v>572</v>
      </c>
      <c r="I154" s="250"/>
    </row>
    <row r="155" spans="3:9" x14ac:dyDescent="0.25">
      <c r="C155" s="228"/>
      <c r="D155" s="231">
        <f>H151</f>
        <v>8460</v>
      </c>
      <c r="E155" s="230" t="s">
        <v>505</v>
      </c>
      <c r="F155" s="230">
        <v>0.05</v>
      </c>
      <c r="G155" s="232" t="s">
        <v>505</v>
      </c>
      <c r="H155" s="231">
        <v>2.15</v>
      </c>
      <c r="I155" s="250"/>
    </row>
    <row r="156" spans="3:9" x14ac:dyDescent="0.25">
      <c r="C156" s="227"/>
      <c r="D156" s="221"/>
      <c r="E156" s="221"/>
      <c r="F156" s="221"/>
      <c r="G156" s="221"/>
      <c r="H156" s="230"/>
      <c r="I156" s="222"/>
    </row>
    <row r="157" spans="3:9" x14ac:dyDescent="0.25">
      <c r="C157" s="227"/>
      <c r="D157" s="254"/>
      <c r="E157" s="242"/>
      <c r="F157" s="232" t="s">
        <v>506</v>
      </c>
      <c r="G157" s="234">
        <f>ROUND(D155*F155*H155,2)</f>
        <v>909.45</v>
      </c>
      <c r="H157" s="244" t="s">
        <v>485</v>
      </c>
      <c r="I157" s="222"/>
    </row>
    <row r="158" spans="3:9" ht="15.75" thickBot="1" x14ac:dyDescent="0.3">
      <c r="C158" s="276"/>
      <c r="D158" s="277"/>
      <c r="E158" s="277"/>
      <c r="F158" s="277"/>
      <c r="G158" s="277"/>
      <c r="H158" s="278"/>
      <c r="I158" s="279"/>
    </row>
  </sheetData>
  <mergeCells count="32">
    <mergeCell ref="C24:F24"/>
    <mergeCell ref="C19:F20"/>
    <mergeCell ref="G19:I19"/>
    <mergeCell ref="C21:F21"/>
    <mergeCell ref="C22:F22"/>
    <mergeCell ref="C23:F23"/>
    <mergeCell ref="C13:I13"/>
    <mergeCell ref="C14:I14"/>
    <mergeCell ref="C15:I15"/>
    <mergeCell ref="C16:I16"/>
    <mergeCell ref="C18:I18"/>
    <mergeCell ref="D91:I91"/>
    <mergeCell ref="D95:I95"/>
    <mergeCell ref="D102:I102"/>
    <mergeCell ref="F7:G7"/>
    <mergeCell ref="H5:I5"/>
    <mergeCell ref="H6:I6"/>
    <mergeCell ref="H7:I7"/>
    <mergeCell ref="C2:D11"/>
    <mergeCell ref="E8:H8"/>
    <mergeCell ref="E9:H9"/>
    <mergeCell ref="E10:H10"/>
    <mergeCell ref="E2:I2"/>
    <mergeCell ref="E3:I3"/>
    <mergeCell ref="E4:I4"/>
    <mergeCell ref="F5:G5"/>
    <mergeCell ref="F6:G6"/>
    <mergeCell ref="C25:F25"/>
    <mergeCell ref="C26:D26"/>
    <mergeCell ref="H26:I26"/>
    <mergeCell ref="C27:I27"/>
    <mergeCell ref="D86:I86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Z62"/>
  <sheetViews>
    <sheetView view="pageBreakPreview" topLeftCell="A4" zoomScale="55" zoomScaleNormal="25" zoomScaleSheetLayoutView="55" workbookViewId="0">
      <selection activeCell="H24" sqref="H24:J24"/>
    </sheetView>
  </sheetViews>
  <sheetFormatPr defaultColWidth="11.42578125" defaultRowHeight="15" x14ac:dyDescent="0.25"/>
  <cols>
    <col min="1" max="1" width="13.28515625" customWidth="1"/>
    <col min="2" max="2" width="19.42578125" customWidth="1"/>
    <col min="3" max="3" width="16" customWidth="1"/>
    <col min="4" max="4" width="10.28515625" customWidth="1"/>
    <col min="5" max="8" width="18.140625" customWidth="1"/>
    <col min="9" max="9" width="20.5703125" customWidth="1"/>
    <col min="10" max="10" width="14.85546875" customWidth="1"/>
    <col min="12" max="12" width="12.5703125" customWidth="1"/>
    <col min="14" max="14" width="11.42578125" style="34"/>
    <col min="16" max="16" width="14.28515625" customWidth="1"/>
    <col min="17" max="17" width="15.28515625" customWidth="1"/>
    <col min="21" max="21" width="15.28515625" customWidth="1"/>
    <col min="22" max="22" width="19.85546875" customWidth="1"/>
    <col min="23" max="23" width="26.28515625" customWidth="1"/>
    <col min="25" max="25" width="12.7109375" customWidth="1"/>
    <col min="26" max="26" width="13.5703125" customWidth="1"/>
  </cols>
  <sheetData>
    <row r="1" spans="2:19" x14ac:dyDescent="0.25">
      <c r="B1" s="34"/>
    </row>
    <row r="4" spans="2:19" x14ac:dyDescent="0.25">
      <c r="B4" s="442"/>
      <c r="C4" s="443"/>
      <c r="D4" s="443"/>
      <c r="E4" s="443"/>
      <c r="F4" s="443"/>
      <c r="G4" s="444"/>
      <c r="H4" s="799" t="str">
        <f>'PLANILHA ORÇAMENTÁRIA'!D6</f>
        <v>MINISTÉRIO DO DESENVOLVIMENTO REGIONAL (MDR) / CAIXA</v>
      </c>
      <c r="I4" s="800"/>
      <c r="J4" s="800"/>
      <c r="K4" s="800"/>
      <c r="L4" s="801"/>
      <c r="M4" s="814" t="str">
        <f>'PLANILHA ORÇAMENTÁRIA'!B21</f>
        <v xml:space="preserve">objeto/obra = RECUPERAÇÃO DE ESTRADAS VICINAIS </v>
      </c>
      <c r="N4" s="815"/>
      <c r="O4" s="815"/>
      <c r="P4" s="815"/>
      <c r="Q4" s="815"/>
      <c r="R4" s="815"/>
      <c r="S4" s="816"/>
    </row>
    <row r="5" spans="2:19" x14ac:dyDescent="0.25">
      <c r="B5" s="445"/>
      <c r="C5" s="446"/>
      <c r="D5" s="446"/>
      <c r="E5" s="446"/>
      <c r="F5" s="446"/>
      <c r="G5" s="447"/>
      <c r="H5" s="802"/>
      <c r="I5" s="803"/>
      <c r="J5" s="803"/>
      <c r="K5" s="803"/>
      <c r="L5" s="804"/>
      <c r="M5" s="817"/>
      <c r="N5" s="818"/>
      <c r="O5" s="819"/>
      <c r="P5" s="819"/>
      <c r="Q5" s="819"/>
      <c r="R5" s="819"/>
      <c r="S5" s="820"/>
    </row>
    <row r="6" spans="2:19" x14ac:dyDescent="0.25">
      <c r="B6" s="445"/>
      <c r="C6" s="446"/>
      <c r="D6" s="446"/>
      <c r="E6" s="446"/>
      <c r="F6" s="446"/>
      <c r="G6" s="447"/>
      <c r="H6" s="802"/>
      <c r="I6" s="803"/>
      <c r="J6" s="803"/>
      <c r="K6" s="803"/>
      <c r="L6" s="804"/>
      <c r="M6" s="817"/>
      <c r="N6" s="818"/>
      <c r="O6" s="819"/>
      <c r="P6" s="819"/>
      <c r="Q6" s="819"/>
      <c r="R6" s="819"/>
      <c r="S6" s="820"/>
    </row>
    <row r="7" spans="2:19" x14ac:dyDescent="0.25">
      <c r="B7" s="445"/>
      <c r="C7" s="446"/>
      <c r="D7" s="446"/>
      <c r="E7" s="446"/>
      <c r="F7" s="446"/>
      <c r="G7" s="447"/>
      <c r="H7" s="821" t="str">
        <f>'PLANILHA ORÇAMENTÁRIA'!D8</f>
        <v>PROPOSTA SICONV Nº 908618/2020</v>
      </c>
      <c r="I7" s="822"/>
      <c r="J7" s="822"/>
      <c r="K7" s="822"/>
      <c r="L7" s="823"/>
      <c r="M7" s="817"/>
      <c r="N7" s="818"/>
      <c r="O7" s="819"/>
      <c r="P7" s="819"/>
      <c r="Q7" s="819"/>
      <c r="R7" s="819"/>
      <c r="S7" s="820"/>
    </row>
    <row r="8" spans="2:19" x14ac:dyDescent="0.25">
      <c r="B8" s="445"/>
      <c r="C8" s="446"/>
      <c r="D8" s="446"/>
      <c r="E8" s="446"/>
      <c r="F8" s="446"/>
      <c r="G8" s="447"/>
      <c r="H8" s="821"/>
      <c r="I8" s="822"/>
      <c r="J8" s="822"/>
      <c r="K8" s="822"/>
      <c r="L8" s="823"/>
      <c r="M8" s="824" t="str">
        <f>'PLANILHA ORÇAMENTÁRIA'!B22</f>
        <v>local/implantação = NO MUNICÍPIO DE SANTO ANTÔNIO DOS LOPES  - MA</v>
      </c>
      <c r="N8" s="825"/>
      <c r="O8" s="826"/>
      <c r="P8" s="826"/>
      <c r="Q8" s="826"/>
      <c r="R8" s="826"/>
      <c r="S8" s="827"/>
    </row>
    <row r="9" spans="2:19" x14ac:dyDescent="0.25">
      <c r="B9" s="445"/>
      <c r="C9" s="446"/>
      <c r="D9" s="446"/>
      <c r="E9" s="446"/>
      <c r="F9" s="446"/>
      <c r="G9" s="447"/>
      <c r="H9" s="828" t="str">
        <f>'PLANILHA ORÇAMENTÁRIA'!D9</f>
        <v>CONVÊNIO Nº 908618/2020</v>
      </c>
      <c r="I9" s="829"/>
      <c r="J9" s="829"/>
      <c r="K9" s="829"/>
      <c r="L9" s="830"/>
      <c r="M9" s="824" t="str">
        <f>'PLANILHA ORÇAMENTÁRIA'!B23</f>
        <v>proponente/proprietário = Prefeitura Municipal de Santo Antônio dos Lopes - Ma</v>
      </c>
      <c r="N9" s="825"/>
      <c r="O9" s="826"/>
      <c r="P9" s="826"/>
      <c r="Q9" s="826"/>
      <c r="R9" s="826"/>
      <c r="S9" s="827"/>
    </row>
    <row r="10" spans="2:19" x14ac:dyDescent="0.25">
      <c r="B10" s="445"/>
      <c r="C10" s="446"/>
      <c r="D10" s="446"/>
      <c r="E10" s="446"/>
      <c r="F10" s="446"/>
      <c r="G10" s="447"/>
      <c r="H10" s="828"/>
      <c r="I10" s="829"/>
      <c r="J10" s="829"/>
      <c r="K10" s="829"/>
      <c r="L10" s="830"/>
      <c r="M10" s="824" t="str">
        <f>'PLANILHA ORÇAMENTÁRIA'!B24</f>
        <v xml:space="preserve">data / referência = SINAPI - DESON-AGOSTO -2021, SICRO ABRIL DE 2021 </v>
      </c>
      <c r="N10" s="825"/>
      <c r="O10" s="826"/>
      <c r="P10" s="826"/>
      <c r="Q10" s="826"/>
      <c r="R10" s="826"/>
      <c r="S10" s="827"/>
    </row>
    <row r="11" spans="2:19" x14ac:dyDescent="0.25">
      <c r="B11" s="445"/>
      <c r="C11" s="446"/>
      <c r="D11" s="446"/>
      <c r="E11" s="446"/>
      <c r="F11" s="446"/>
      <c r="G11" s="447"/>
      <c r="H11" s="831"/>
      <c r="I11" s="832"/>
      <c r="J11" s="832"/>
      <c r="K11" s="832"/>
      <c r="L11" s="833"/>
      <c r="M11" s="446"/>
      <c r="N11" s="446"/>
      <c r="O11" s="446"/>
      <c r="P11" s="446"/>
      <c r="Q11" s="446"/>
      <c r="R11" s="446"/>
      <c r="S11" s="447"/>
    </row>
    <row r="12" spans="2:19" x14ac:dyDescent="0.25">
      <c r="B12" s="445"/>
      <c r="C12" s="446"/>
      <c r="D12" s="446"/>
      <c r="E12" s="446"/>
      <c r="F12" s="446"/>
      <c r="G12" s="447"/>
      <c r="H12" s="805"/>
      <c r="I12" s="806"/>
      <c r="J12" s="500"/>
      <c r="K12" s="805"/>
      <c r="L12" s="806"/>
      <c r="M12" s="809" t="str">
        <f>'MEM. DE CALCULO'!E8</f>
        <v>BDI =</v>
      </c>
      <c r="N12" s="810"/>
      <c r="O12" s="811"/>
      <c r="P12" s="811"/>
      <c r="Q12" s="811"/>
      <c r="R12" s="811"/>
      <c r="S12" s="448">
        <f>'PLANILHA ORÇAMENTÁRIA'!L16</f>
        <v>0.26</v>
      </c>
    </row>
    <row r="13" spans="2:19" x14ac:dyDescent="0.25">
      <c r="B13" s="449"/>
      <c r="C13" s="450"/>
      <c r="D13" s="450"/>
      <c r="E13" s="450"/>
      <c r="F13" s="450"/>
      <c r="G13" s="447"/>
      <c r="H13" s="812" t="str">
        <f>'MEM. DE CALCULO'!E5</f>
        <v>1 - PROJETO</v>
      </c>
      <c r="I13" s="813"/>
      <c r="J13" s="501" t="str">
        <f>'MEM. DE CALCULO'!F5</f>
        <v>2 - OBRA</v>
      </c>
      <c r="K13" s="812" t="str">
        <f>'MEM. DE CALCULO'!H5</f>
        <v>3 - TOTAL (1+2)</v>
      </c>
      <c r="L13" s="813"/>
      <c r="M13" s="809" t="str">
        <f>'MEM. DE CALCULO'!E9</f>
        <v>ENC. SOCIAIS SEM DESONERAÇÃO - HORA =</v>
      </c>
      <c r="N13" s="810"/>
      <c r="O13" s="811"/>
      <c r="P13" s="811"/>
      <c r="Q13" s="811"/>
      <c r="R13" s="811"/>
      <c r="S13" s="448">
        <f>'PLANILHA ORÇAMENTÁRIA'!L17</f>
        <v>0.85680000000000001</v>
      </c>
    </row>
    <row r="14" spans="2:19" x14ac:dyDescent="0.25">
      <c r="B14" s="449"/>
      <c r="C14" s="450"/>
      <c r="D14" s="450"/>
      <c r="E14" s="450"/>
      <c r="F14" s="450"/>
      <c r="G14" s="451"/>
      <c r="H14" s="807">
        <f>'MEM. DE CALCULO'!E6</f>
        <v>0</v>
      </c>
      <c r="I14" s="808"/>
      <c r="J14" s="502">
        <f>'MEM. DE CALCULO'!F6</f>
        <v>0</v>
      </c>
      <c r="K14" s="807">
        <f>'MEM. DE CALCULO'!H6</f>
        <v>0</v>
      </c>
      <c r="L14" s="808"/>
      <c r="M14" s="809" t="str">
        <f>'MEM. DE CALCULO'!E10</f>
        <v>ENC. SOCIAIS SEM DESONERAÇÃO - MÊS =</v>
      </c>
      <c r="N14" s="810"/>
      <c r="O14" s="811"/>
      <c r="P14" s="811"/>
      <c r="Q14" s="811"/>
      <c r="R14" s="811"/>
      <c r="S14" s="448">
        <f>'PLANILHA ORÇAMENTÁRIA'!L18</f>
        <v>0.49330000000000002</v>
      </c>
    </row>
    <row r="15" spans="2:19" x14ac:dyDescent="0.25">
      <c r="B15" s="452"/>
      <c r="C15" s="453"/>
      <c r="D15" s="453"/>
      <c r="E15" s="453"/>
      <c r="F15" s="453"/>
      <c r="G15" s="454"/>
      <c r="H15" s="776" t="e">
        <f>'MEM. DE CALCULO'!E7</f>
        <v>#DIV/0!</v>
      </c>
      <c r="I15" s="777"/>
      <c r="J15" s="503" t="e">
        <f>'MEM. DE CALCULO'!F7</f>
        <v>#DIV/0!</v>
      </c>
      <c r="K15" s="776">
        <f>'MEM. DE CALCULO'!H7</f>
        <v>0</v>
      </c>
      <c r="L15" s="777"/>
      <c r="M15" s="778"/>
      <c r="N15" s="779"/>
      <c r="O15" s="779"/>
      <c r="P15" s="779"/>
      <c r="Q15" s="779"/>
      <c r="R15" s="455"/>
      <c r="S15" s="456"/>
    </row>
    <row r="16" spans="2:19" ht="25.5" x14ac:dyDescent="0.25">
      <c r="B16" s="787" t="s">
        <v>764</v>
      </c>
      <c r="C16" s="787"/>
      <c r="D16" s="787"/>
      <c r="E16" s="787"/>
      <c r="F16" s="787"/>
      <c r="G16" s="787"/>
      <c r="H16" s="787"/>
      <c r="I16" s="787"/>
      <c r="J16" s="787"/>
      <c r="K16" s="787"/>
      <c r="L16" s="787"/>
      <c r="M16" s="787"/>
      <c r="N16" s="787"/>
      <c r="O16" s="787"/>
      <c r="P16" s="787"/>
      <c r="Q16" s="787"/>
      <c r="R16" s="787"/>
      <c r="S16" s="787"/>
    </row>
    <row r="17" spans="2:21" x14ac:dyDescent="0.25">
      <c r="B17" s="788" t="s">
        <v>0</v>
      </c>
      <c r="C17" s="788"/>
      <c r="D17" s="788"/>
      <c r="E17" s="788" t="s">
        <v>1</v>
      </c>
      <c r="F17" s="788"/>
      <c r="G17" s="786" t="s">
        <v>765</v>
      </c>
      <c r="H17" s="786"/>
      <c r="I17" s="786"/>
      <c r="J17" s="786"/>
      <c r="K17" s="786"/>
      <c r="L17" s="786"/>
      <c r="M17" s="786"/>
      <c r="N17" s="786"/>
      <c r="O17" s="786"/>
      <c r="P17" s="780" t="s">
        <v>766</v>
      </c>
      <c r="Q17" s="781"/>
      <c r="R17" s="780" t="s">
        <v>767</v>
      </c>
      <c r="S17" s="781"/>
    </row>
    <row r="18" spans="2:21" x14ac:dyDescent="0.25">
      <c r="B18" s="788"/>
      <c r="C18" s="788"/>
      <c r="D18" s="788"/>
      <c r="E18" s="788"/>
      <c r="F18" s="788"/>
      <c r="G18" s="786" t="s">
        <v>792</v>
      </c>
      <c r="H18" s="786"/>
      <c r="I18" s="786"/>
      <c r="J18" s="786"/>
      <c r="K18" s="786"/>
      <c r="L18" s="786"/>
      <c r="M18" s="786"/>
      <c r="N18" s="786"/>
      <c r="O18" s="786"/>
      <c r="P18" s="782"/>
      <c r="Q18" s="783"/>
      <c r="R18" s="782"/>
      <c r="S18" s="783"/>
    </row>
    <row r="19" spans="2:21" x14ac:dyDescent="0.25">
      <c r="B19" s="788"/>
      <c r="C19" s="788"/>
      <c r="D19" s="788"/>
      <c r="E19" s="788"/>
      <c r="F19" s="788"/>
      <c r="G19" s="457" t="s">
        <v>791</v>
      </c>
      <c r="H19" s="457" t="s">
        <v>768</v>
      </c>
      <c r="I19" s="457" t="s">
        <v>769</v>
      </c>
      <c r="J19" s="457" t="s">
        <v>770</v>
      </c>
      <c r="K19" s="457" t="s">
        <v>771</v>
      </c>
      <c r="L19" s="457" t="s">
        <v>772</v>
      </c>
      <c r="M19" s="457" t="s">
        <v>773</v>
      </c>
      <c r="N19" s="457" t="s">
        <v>774</v>
      </c>
      <c r="O19" s="457" t="s">
        <v>775</v>
      </c>
      <c r="P19" s="782"/>
      <c r="Q19" s="783"/>
      <c r="R19" s="782"/>
      <c r="S19" s="783"/>
    </row>
    <row r="20" spans="2:21" x14ac:dyDescent="0.25">
      <c r="B20" s="788"/>
      <c r="C20" s="788"/>
      <c r="D20" s="788"/>
      <c r="E20" s="788"/>
      <c r="F20" s="788"/>
      <c r="G20" s="458">
        <v>1</v>
      </c>
      <c r="H20" s="458">
        <v>2</v>
      </c>
      <c r="I20" s="458">
        <v>3</v>
      </c>
      <c r="J20" s="458">
        <v>4</v>
      </c>
      <c r="K20" s="458">
        <v>5</v>
      </c>
      <c r="L20" s="458">
        <v>6</v>
      </c>
      <c r="M20" s="458">
        <v>7</v>
      </c>
      <c r="N20" s="458">
        <v>8</v>
      </c>
      <c r="O20" s="458">
        <v>9</v>
      </c>
      <c r="P20" s="784"/>
      <c r="Q20" s="785"/>
      <c r="R20" s="784"/>
      <c r="S20" s="785"/>
    </row>
    <row r="21" spans="2:21" x14ac:dyDescent="0.25">
      <c r="B21" s="788"/>
      <c r="C21" s="788"/>
      <c r="D21" s="788"/>
      <c r="E21" s="788"/>
      <c r="F21" s="788"/>
      <c r="G21" s="459" t="s">
        <v>776</v>
      </c>
      <c r="H21" s="771" t="s">
        <v>777</v>
      </c>
      <c r="I21" s="772"/>
      <c r="J21" s="772"/>
      <c r="K21" s="773" t="s">
        <v>778</v>
      </c>
      <c r="L21" s="774"/>
      <c r="M21" s="774"/>
      <c r="N21" s="774"/>
      <c r="O21" s="775"/>
      <c r="P21" s="763" t="s">
        <v>779</v>
      </c>
      <c r="Q21" s="763" t="s">
        <v>42</v>
      </c>
      <c r="R21" s="763" t="s">
        <v>779</v>
      </c>
      <c r="S21" s="763" t="s">
        <v>42</v>
      </c>
    </row>
    <row r="22" spans="2:21" x14ac:dyDescent="0.25">
      <c r="B22" s="788"/>
      <c r="C22" s="788"/>
      <c r="D22" s="788"/>
      <c r="E22" s="788"/>
      <c r="F22" s="788"/>
      <c r="G22" s="460" t="s">
        <v>780</v>
      </c>
      <c r="H22" s="789" t="s">
        <v>781</v>
      </c>
      <c r="I22" s="790"/>
      <c r="J22" s="790"/>
      <c r="K22" s="791" t="s">
        <v>781</v>
      </c>
      <c r="L22" s="792"/>
      <c r="M22" s="792"/>
      <c r="N22" s="792"/>
      <c r="O22" s="793"/>
      <c r="P22" s="764"/>
      <c r="Q22" s="764"/>
      <c r="R22" s="764"/>
      <c r="S22" s="764"/>
    </row>
    <row r="23" spans="2:21" x14ac:dyDescent="0.25">
      <c r="B23" s="788"/>
      <c r="C23" s="788"/>
      <c r="D23" s="788"/>
      <c r="E23" s="788"/>
      <c r="F23" s="788"/>
      <c r="G23" s="498">
        <v>0.2</v>
      </c>
      <c r="H23" s="794">
        <v>0.4</v>
      </c>
      <c r="I23" s="795"/>
      <c r="J23" s="795"/>
      <c r="K23" s="796">
        <v>0.4</v>
      </c>
      <c r="L23" s="797"/>
      <c r="M23" s="797"/>
      <c r="N23" s="797"/>
      <c r="O23" s="798"/>
      <c r="P23" s="764"/>
      <c r="Q23" s="764"/>
      <c r="R23" s="764"/>
      <c r="S23" s="764"/>
    </row>
    <row r="24" spans="2:21" x14ac:dyDescent="0.25">
      <c r="B24" s="788"/>
      <c r="C24" s="788"/>
      <c r="D24" s="788"/>
      <c r="E24" s="788"/>
      <c r="F24" s="788"/>
      <c r="G24" s="461" t="e">
        <f>ROUND(G23*Q45,2)</f>
        <v>#REF!</v>
      </c>
      <c r="H24" s="766" t="e">
        <f>ROUND(H23*Q45,2)</f>
        <v>#REF!</v>
      </c>
      <c r="I24" s="767"/>
      <c r="J24" s="767"/>
      <c r="K24" s="768" t="e">
        <f>ROUND(K23*Q45,2)</f>
        <v>#REF!</v>
      </c>
      <c r="L24" s="769"/>
      <c r="M24" s="769"/>
      <c r="N24" s="769"/>
      <c r="O24" s="770"/>
      <c r="P24" s="765"/>
      <c r="Q24" s="765"/>
      <c r="R24" s="765"/>
      <c r="S24" s="765"/>
    </row>
    <row r="25" spans="2:21" ht="15.75" thickBot="1" x14ac:dyDescent="0.3">
      <c r="B25" s="761" t="s">
        <v>789</v>
      </c>
      <c r="C25" s="762" t="s">
        <v>31</v>
      </c>
      <c r="D25" s="744" t="s">
        <v>5</v>
      </c>
      <c r="E25" s="746" t="e">
        <f>'PLANILHA ORÇAMENTÁRIA'!#REF!</f>
        <v>#REF!</v>
      </c>
      <c r="F25" s="747">
        <f>'[11]Orça-Sintético Geral'!F18</f>
        <v>0</v>
      </c>
      <c r="G25" s="462" t="e">
        <f>P25</f>
        <v>#REF!</v>
      </c>
      <c r="H25" s="463"/>
      <c r="I25" s="463"/>
      <c r="J25" s="463"/>
      <c r="K25" s="463"/>
      <c r="L25" s="463"/>
      <c r="M25" s="463"/>
      <c r="N25" s="463"/>
      <c r="O25" s="463"/>
      <c r="P25" s="755" t="e">
        <f>'PLANILHA ORÇAMENTÁRIA'!#REF!</f>
        <v>#REF!</v>
      </c>
      <c r="Q25" s="753" t="e">
        <f>SUM(P25:P36)</f>
        <v>#REF!</v>
      </c>
      <c r="R25" s="724" t="e">
        <f>P25/$Q$45</f>
        <v>#REF!</v>
      </c>
      <c r="S25" s="750" t="e">
        <f>SUM(R25:R36)</f>
        <v>#REF!</v>
      </c>
    </row>
    <row r="26" spans="2:21" x14ac:dyDescent="0.25">
      <c r="B26" s="757"/>
      <c r="C26" s="759"/>
      <c r="D26" s="745"/>
      <c r="E26" s="748"/>
      <c r="F26" s="749"/>
      <c r="G26" s="464" t="e">
        <f>G25/$P25</f>
        <v>#REF!</v>
      </c>
      <c r="H26" s="465"/>
      <c r="I26" s="465"/>
      <c r="J26" s="465"/>
      <c r="K26" s="465"/>
      <c r="L26" s="465"/>
      <c r="M26" s="465"/>
      <c r="N26" s="465"/>
      <c r="O26" s="465"/>
      <c r="P26" s="752"/>
      <c r="Q26" s="754"/>
      <c r="R26" s="725"/>
      <c r="S26" s="751"/>
    </row>
    <row r="27" spans="2:21" ht="15.75" thickBot="1" x14ac:dyDescent="0.3">
      <c r="B27" s="757"/>
      <c r="C27" s="759"/>
      <c r="D27" s="744" t="s">
        <v>7</v>
      </c>
      <c r="E27" s="746" t="e">
        <f>'PLANILHA ORÇAMENTÁRIA'!#REF!</f>
        <v>#REF!</v>
      </c>
      <c r="F27" s="747">
        <f>'[11]Orça-Sintético Geral'!F20</f>
        <v>0</v>
      </c>
      <c r="G27" s="462" t="e">
        <f>P27</f>
        <v>#REF!</v>
      </c>
      <c r="H27" s="463"/>
      <c r="I27" s="463"/>
      <c r="J27" s="463"/>
      <c r="K27" s="463"/>
      <c r="L27" s="463"/>
      <c r="M27" s="463"/>
      <c r="N27" s="463"/>
      <c r="O27" s="463"/>
      <c r="P27" s="755" t="e">
        <f>'PLANILHA ORÇAMENTÁRIA'!#REF!</f>
        <v>#REF!</v>
      </c>
      <c r="Q27" s="754"/>
      <c r="R27" s="724" t="e">
        <f t="shared" ref="R27" si="0">P27/$Q$45</f>
        <v>#REF!</v>
      </c>
      <c r="S27" s="751"/>
    </row>
    <row r="28" spans="2:21" x14ac:dyDescent="0.25">
      <c r="B28" s="757"/>
      <c r="C28" s="759"/>
      <c r="D28" s="745"/>
      <c r="E28" s="748"/>
      <c r="F28" s="749"/>
      <c r="G28" s="464" t="e">
        <f>G27/$P27</f>
        <v>#REF!</v>
      </c>
      <c r="H28" s="465"/>
      <c r="I28" s="465"/>
      <c r="J28" s="465"/>
      <c r="K28" s="465"/>
      <c r="L28" s="465"/>
      <c r="M28" s="465"/>
      <c r="N28" s="465"/>
      <c r="O28" s="465"/>
      <c r="P28" s="752"/>
      <c r="Q28" s="754"/>
      <c r="R28" s="725"/>
      <c r="S28" s="751"/>
    </row>
    <row r="29" spans="2:21" ht="15.75" thickBot="1" x14ac:dyDescent="0.3">
      <c r="B29" s="757"/>
      <c r="C29" s="759"/>
      <c r="D29" s="744" t="s">
        <v>8</v>
      </c>
      <c r="E29" s="746" t="e">
        <f>'PLANILHA ORÇAMENTÁRIA'!#REF!</f>
        <v>#REF!</v>
      </c>
      <c r="F29" s="747" t="str">
        <f>'[11]Orça-Sintético Geral'!F22</f>
        <v>VALOR (R$)</v>
      </c>
      <c r="G29" s="462" t="e">
        <f>P29</f>
        <v>#REF!</v>
      </c>
      <c r="H29" s="463"/>
      <c r="I29" s="463"/>
      <c r="J29" s="463"/>
      <c r="K29" s="463"/>
      <c r="L29" s="463"/>
      <c r="M29" s="463"/>
      <c r="N29" s="463"/>
      <c r="O29" s="463"/>
      <c r="P29" s="755" t="e">
        <f>'PLANILHA ORÇAMENTÁRIA'!#REF!</f>
        <v>#REF!</v>
      </c>
      <c r="Q29" s="754"/>
      <c r="R29" s="724" t="e">
        <f t="shared" ref="R29" si="1">P29/$Q$45</f>
        <v>#REF!</v>
      </c>
      <c r="S29" s="751"/>
    </row>
    <row r="30" spans="2:21" x14ac:dyDescent="0.25">
      <c r="B30" s="757"/>
      <c r="C30" s="759"/>
      <c r="D30" s="745"/>
      <c r="E30" s="748"/>
      <c r="F30" s="749"/>
      <c r="G30" s="464" t="e">
        <f>G29/$P29</f>
        <v>#REF!</v>
      </c>
      <c r="H30" s="465"/>
      <c r="I30" s="465"/>
      <c r="J30" s="465"/>
      <c r="K30" s="465"/>
      <c r="L30" s="465"/>
      <c r="M30" s="465"/>
      <c r="N30" s="465"/>
      <c r="O30" s="465"/>
      <c r="P30" s="752"/>
      <c r="Q30" s="754"/>
      <c r="R30" s="725"/>
      <c r="S30" s="751"/>
      <c r="U30">
        <f>1-0.145631</f>
        <v>0.85436899999999993</v>
      </c>
    </row>
    <row r="31" spans="2:21" ht="15.75" thickBot="1" x14ac:dyDescent="0.3">
      <c r="B31" s="757"/>
      <c r="C31" s="759"/>
      <c r="D31" s="744" t="s">
        <v>16</v>
      </c>
      <c r="E31" s="746" t="e">
        <f>'PLANILHA ORÇAMENTÁRIA'!#REF!</f>
        <v>#REF!</v>
      </c>
      <c r="F31" s="747">
        <f>'[11]Orça-Sintético Geral'!F24</f>
        <v>10015.200000000001</v>
      </c>
      <c r="G31" s="462" t="e">
        <f>P31</f>
        <v>#REF!</v>
      </c>
      <c r="H31" s="463"/>
      <c r="I31" s="463"/>
      <c r="J31" s="463"/>
      <c r="K31" s="463"/>
      <c r="L31" s="463"/>
      <c r="M31" s="463"/>
      <c r="N31" s="463"/>
      <c r="O31" s="463"/>
      <c r="P31" s="755" t="e">
        <f>'PLANILHA ORÇAMENTÁRIA'!#REF!</f>
        <v>#REF!</v>
      </c>
      <c r="Q31" s="754"/>
      <c r="R31" s="724" t="e">
        <f t="shared" ref="R31" si="2">P31/$Q$45</f>
        <v>#REF!</v>
      </c>
      <c r="S31" s="751"/>
    </row>
    <row r="32" spans="2:21" x14ac:dyDescent="0.25">
      <c r="B32" s="757"/>
      <c r="C32" s="759"/>
      <c r="D32" s="745"/>
      <c r="E32" s="748"/>
      <c r="F32" s="749"/>
      <c r="G32" s="464" t="e">
        <f>G31/$P31</f>
        <v>#REF!</v>
      </c>
      <c r="H32" s="465"/>
      <c r="I32" s="465"/>
      <c r="J32" s="465"/>
      <c r="K32" s="465"/>
      <c r="L32" s="465"/>
      <c r="M32" s="465"/>
      <c r="N32" s="465"/>
      <c r="O32" s="465"/>
      <c r="P32" s="752"/>
      <c r="Q32" s="754"/>
      <c r="R32" s="725"/>
      <c r="S32" s="751"/>
    </row>
    <row r="33" spans="2:26" ht="15.75" thickBot="1" x14ac:dyDescent="0.3">
      <c r="B33" s="757"/>
      <c r="C33" s="759"/>
      <c r="D33" s="744" t="s">
        <v>744</v>
      </c>
      <c r="E33" s="746" t="e">
        <f>'PLANILHA ORÇAMENTÁRIA'!#REF!</f>
        <v>#REF!</v>
      </c>
      <c r="F33" s="747">
        <f>'[11]Orça-Sintético Geral'!F26</f>
        <v>1173.42</v>
      </c>
      <c r="G33" s="462" t="e">
        <f>P33</f>
        <v>#REF!</v>
      </c>
      <c r="H33" s="463"/>
      <c r="I33" s="463"/>
      <c r="J33" s="463"/>
      <c r="K33" s="463"/>
      <c r="L33" s="463"/>
      <c r="M33" s="463"/>
      <c r="N33" s="463"/>
      <c r="O33" s="463"/>
      <c r="P33" s="755" t="e">
        <f>'PLANILHA ORÇAMENTÁRIA'!#REF!</f>
        <v>#REF!</v>
      </c>
      <c r="Q33" s="754"/>
      <c r="R33" s="724" t="e">
        <f t="shared" ref="R33" si="3">P33/$Q$45</f>
        <v>#REF!</v>
      </c>
      <c r="S33" s="751"/>
    </row>
    <row r="34" spans="2:26" x14ac:dyDescent="0.25">
      <c r="B34" s="757"/>
      <c r="C34" s="759"/>
      <c r="D34" s="745"/>
      <c r="E34" s="748"/>
      <c r="F34" s="749"/>
      <c r="G34" s="464" t="e">
        <f>G33/$P33</f>
        <v>#REF!</v>
      </c>
      <c r="H34" s="465"/>
      <c r="I34" s="465"/>
      <c r="J34" s="465"/>
      <c r="K34" s="465"/>
      <c r="L34" s="465"/>
      <c r="M34" s="465"/>
      <c r="N34" s="465"/>
      <c r="O34" s="465"/>
      <c r="P34" s="752"/>
      <c r="Q34" s="754"/>
      <c r="R34" s="725"/>
      <c r="S34" s="751"/>
    </row>
    <row r="35" spans="2:26" ht="15.75" thickBot="1" x14ac:dyDescent="0.3">
      <c r="B35" s="757"/>
      <c r="C35" s="759"/>
      <c r="D35" s="744" t="s">
        <v>745</v>
      </c>
      <c r="E35" s="746" t="e">
        <f>'PLANILHA ORÇAMENTÁRIA'!#REF!</f>
        <v>#REF!</v>
      </c>
      <c r="F35" s="747">
        <f>'[11]Orça-Sintético Geral'!F28</f>
        <v>7.6</v>
      </c>
      <c r="G35" s="462" t="e">
        <f>P35</f>
        <v>#REF!</v>
      </c>
      <c r="H35" s="463"/>
      <c r="I35" s="463"/>
      <c r="J35" s="463"/>
      <c r="K35" s="463"/>
      <c r="L35" s="463"/>
      <c r="M35" s="463"/>
      <c r="N35" s="463"/>
      <c r="O35" s="463"/>
      <c r="P35" s="755" t="e">
        <f>'PLANILHA ORÇAMENTÁRIA'!#REF!</f>
        <v>#REF!</v>
      </c>
      <c r="Q35" s="754"/>
      <c r="R35" s="724" t="e">
        <f t="shared" ref="R35" si="4">P35/$Q$45</f>
        <v>#REF!</v>
      </c>
      <c r="S35" s="751"/>
      <c r="U35" s="433" t="e">
        <f>SUM(K37,L37,M37,N37,O37,K39,L39,M39,N39,O39,K41,L41,M41,N41,O41)</f>
        <v>#REF!</v>
      </c>
    </row>
    <row r="36" spans="2:26" x14ac:dyDescent="0.25">
      <c r="B36" s="757"/>
      <c r="C36" s="759"/>
      <c r="D36" s="745"/>
      <c r="E36" s="748"/>
      <c r="F36" s="749"/>
      <c r="G36" s="464" t="e">
        <f>G35/$P35</f>
        <v>#REF!</v>
      </c>
      <c r="H36" s="465"/>
      <c r="I36" s="465"/>
      <c r="J36" s="465"/>
      <c r="K36" s="465"/>
      <c r="L36" s="465"/>
      <c r="M36" s="465"/>
      <c r="N36" s="465"/>
      <c r="O36" s="465"/>
      <c r="P36" s="752"/>
      <c r="Q36" s="754"/>
      <c r="R36" s="725"/>
      <c r="S36" s="751"/>
    </row>
    <row r="37" spans="2:26" ht="15.75" thickBot="1" x14ac:dyDescent="0.3">
      <c r="B37" s="756" t="s">
        <v>790</v>
      </c>
      <c r="C37" s="758" t="s">
        <v>32</v>
      </c>
      <c r="D37" s="744" t="s">
        <v>9</v>
      </c>
      <c r="E37" s="760" t="str">
        <f>'PLANILHA ORÇAMENTÁRIA'!C45</f>
        <v>SERVIÇOS PRELIMINARES</v>
      </c>
      <c r="F37" s="747">
        <f>'[11]Orça-Sintético Geral'!F33</f>
        <v>57518.89</v>
      </c>
      <c r="G37" s="462" t="e">
        <f>ROUND(G24*0.049,2)</f>
        <v>#REF!</v>
      </c>
      <c r="H37" s="462" t="e">
        <f>ROUND($H$24*0.0041001655,2)/2</f>
        <v>#REF!</v>
      </c>
      <c r="I37" s="462" t="e">
        <f t="shared" ref="I37:O37" si="5">ROUND($H$24*0.0041001655,2)/2</f>
        <v>#REF!</v>
      </c>
      <c r="J37" s="462" t="e">
        <f t="shared" si="5"/>
        <v>#REF!</v>
      </c>
      <c r="K37" s="462" t="e">
        <f t="shared" si="5"/>
        <v>#REF!</v>
      </c>
      <c r="L37" s="462" t="e">
        <f t="shared" si="5"/>
        <v>#REF!</v>
      </c>
      <c r="M37" s="462" t="e">
        <f t="shared" si="5"/>
        <v>#REF!</v>
      </c>
      <c r="N37" s="462" t="e">
        <f t="shared" si="5"/>
        <v>#REF!</v>
      </c>
      <c r="O37" s="462" t="e">
        <f t="shared" si="5"/>
        <v>#REF!</v>
      </c>
      <c r="P37" s="755">
        <f>'PLANILHA ORÇAMENTÁRIA'!L45</f>
        <v>227384.92</v>
      </c>
      <c r="Q37" s="753">
        <f>SUM(P37:P44)</f>
        <v>1906397.1240764773</v>
      </c>
      <c r="R37" s="724" t="e">
        <f t="shared" ref="R37" si="6">P37/$Q$45</f>
        <v>#REF!</v>
      </c>
      <c r="S37" s="750" t="e">
        <f>SUM(R37:R44)</f>
        <v>#REF!</v>
      </c>
      <c r="U37" s="433" t="e">
        <f>K24-U35</f>
        <v>#REF!</v>
      </c>
    </row>
    <row r="38" spans="2:26" x14ac:dyDescent="0.25">
      <c r="B38" s="757"/>
      <c r="C38" s="759"/>
      <c r="D38" s="745"/>
      <c r="E38" s="748"/>
      <c r="F38" s="749"/>
      <c r="G38" s="464" t="e">
        <f>G37/$P37</f>
        <v>#REF!</v>
      </c>
      <c r="H38" s="464" t="e">
        <f t="shared" ref="H38:O38" si="7">H37/$P$37</f>
        <v>#REF!</v>
      </c>
      <c r="I38" s="464" t="e">
        <f t="shared" si="7"/>
        <v>#REF!</v>
      </c>
      <c r="J38" s="464" t="e">
        <f t="shared" si="7"/>
        <v>#REF!</v>
      </c>
      <c r="K38" s="464" t="e">
        <f t="shared" si="7"/>
        <v>#REF!</v>
      </c>
      <c r="L38" s="464" t="e">
        <f t="shared" si="7"/>
        <v>#REF!</v>
      </c>
      <c r="M38" s="464" t="e">
        <f t="shared" si="7"/>
        <v>#REF!</v>
      </c>
      <c r="N38" s="464" t="e">
        <f t="shared" si="7"/>
        <v>#REF!</v>
      </c>
      <c r="O38" s="464" t="e">
        <f t="shared" si="7"/>
        <v>#REF!</v>
      </c>
      <c r="P38" s="752"/>
      <c r="Q38" s="754"/>
      <c r="R38" s="725"/>
      <c r="S38" s="751"/>
      <c r="U38" t="e">
        <f>U37/P43</f>
        <v>#REF!</v>
      </c>
      <c r="V38">
        <v>0.157886736</v>
      </c>
      <c r="W38" t="e">
        <f>U38-V38</f>
        <v>#REF!</v>
      </c>
    </row>
    <row r="39" spans="2:26" ht="15.75" thickBot="1" x14ac:dyDescent="0.3">
      <c r="B39" s="757"/>
      <c r="C39" s="759"/>
      <c r="D39" s="744" t="s">
        <v>10</v>
      </c>
      <c r="E39" s="748" t="str">
        <f>'PLANILHA ORÇAMENTÁRIA'!C50</f>
        <v>SERVIÇOS EM TERRA</v>
      </c>
      <c r="F39" s="749">
        <f>'[11]Orça-Sintético Geral'!F34</f>
        <v>19171.960000000003</v>
      </c>
      <c r="G39" s="462" t="e">
        <f>ROUND(G24*0.151,2)</f>
        <v>#REF!</v>
      </c>
      <c r="H39" s="462">
        <f>ROUND($P39*0.16,2)</f>
        <v>188174.82</v>
      </c>
      <c r="I39" s="462">
        <f>ROUND($P39*0.11,2)</f>
        <v>129370.19</v>
      </c>
      <c r="J39" s="462">
        <f>ROUND($P39*0.1,2)</f>
        <v>117609.26</v>
      </c>
      <c r="K39" s="462">
        <f>ROUND($P39*0.04,2)</f>
        <v>47043.7</v>
      </c>
      <c r="L39" s="462">
        <f>ROUND($P$39*0.04,2)</f>
        <v>47043.7</v>
      </c>
      <c r="M39" s="462">
        <f t="shared" ref="M39:O39" si="8">ROUND($P$39*0.04,2)</f>
        <v>47043.7</v>
      </c>
      <c r="N39" s="462">
        <f t="shared" si="8"/>
        <v>47043.7</v>
      </c>
      <c r="O39" s="462">
        <f t="shared" si="8"/>
        <v>47043.7</v>
      </c>
      <c r="P39" s="752">
        <f>'PLANILHA ORÇAMENTÁRIA'!L50</f>
        <v>1176092.6008764773</v>
      </c>
      <c r="Q39" s="754"/>
      <c r="R39" s="724" t="e">
        <f t="shared" ref="R39" si="9">P39/$Q$45</f>
        <v>#REF!</v>
      </c>
      <c r="S39" s="751"/>
    </row>
    <row r="40" spans="2:26" x14ac:dyDescent="0.25">
      <c r="B40" s="757"/>
      <c r="C40" s="759"/>
      <c r="D40" s="745"/>
      <c r="E40" s="748"/>
      <c r="F40" s="749"/>
      <c r="G40" s="464" t="e">
        <f t="shared" ref="G40:O40" si="10">G39/$P$39</f>
        <v>#REF!</v>
      </c>
      <c r="H40" s="464">
        <f t="shared" si="10"/>
        <v>0.16000000328185351</v>
      </c>
      <c r="I40" s="464">
        <f t="shared" si="10"/>
        <v>0.11000000331911577</v>
      </c>
      <c r="J40" s="464">
        <f t="shared" si="10"/>
        <v>9.999999992547548E-2</v>
      </c>
      <c r="K40" s="464">
        <f t="shared" si="10"/>
        <v>3.999999656909746E-2</v>
      </c>
      <c r="L40" s="464">
        <f t="shared" si="10"/>
        <v>3.999999656909746E-2</v>
      </c>
      <c r="M40" s="464">
        <f t="shared" si="10"/>
        <v>3.999999656909746E-2</v>
      </c>
      <c r="N40" s="464">
        <f t="shared" si="10"/>
        <v>3.999999656909746E-2</v>
      </c>
      <c r="O40" s="464">
        <f t="shared" si="10"/>
        <v>3.999999656909746E-2</v>
      </c>
      <c r="P40" s="752"/>
      <c r="Q40" s="754"/>
      <c r="R40" s="725"/>
      <c r="S40" s="751"/>
      <c r="U40" s="504">
        <f>H40+I40+J40+K40+L40+M40+N40+O40</f>
        <v>0.56999998937193208</v>
      </c>
    </row>
    <row r="41" spans="2:26" ht="15.75" thickBot="1" x14ac:dyDescent="0.3">
      <c r="B41" s="757"/>
      <c r="C41" s="759"/>
      <c r="D41" s="744" t="s">
        <v>478</v>
      </c>
      <c r="E41" s="748" t="str">
        <f>'PLANILHA ORÇAMENTÁRIA'!C56</f>
        <v>DRENAGEM</v>
      </c>
      <c r="F41" s="749">
        <f>'[11]Orça-Sintético Geral'!F35</f>
        <v>3944.49</v>
      </c>
      <c r="G41" s="462" t="e">
        <f>ROUND($G24*0.65436894,2)</f>
        <v>#REF!</v>
      </c>
      <c r="H41" s="462">
        <f>ROUND($P41*0.1659,2)</f>
        <v>70775.039999999994</v>
      </c>
      <c r="I41" s="462">
        <f>ROUND($P41*0.13,2)</f>
        <v>55459.64</v>
      </c>
      <c r="J41" s="462">
        <f>ROUND($P41*0.09,2)</f>
        <v>38395.14</v>
      </c>
      <c r="K41" s="462">
        <f>ROUND($P41*0.06,2)</f>
        <v>25596.76</v>
      </c>
      <c r="L41" s="462">
        <f>ROUND($P41*0.06,2)</f>
        <v>25596.76</v>
      </c>
      <c r="M41" s="462">
        <f>ROUND($P41*0.04,2)</f>
        <v>17064.509999999998</v>
      </c>
      <c r="N41" s="462">
        <f>ROUND($P41*0.04,2)</f>
        <v>17064.509999999998</v>
      </c>
      <c r="O41" s="462" t="e">
        <f>P41-G41-H41-I41-N41-K41-J41-L41-M41</f>
        <v>#REF!</v>
      </c>
      <c r="P41" s="752">
        <f>'PLANILHA ORÇAMENTÁRIA'!L56</f>
        <v>426612.64000000007</v>
      </c>
      <c r="Q41" s="754"/>
      <c r="R41" s="724" t="e">
        <f t="shared" ref="R41" si="11">P41/$Q$45</f>
        <v>#REF!</v>
      </c>
      <c r="S41" s="751"/>
      <c r="V41" s="433" t="e">
        <f>0.35*U37</f>
        <v>#REF!</v>
      </c>
      <c r="W41" s="433" t="e">
        <f>0.25*U37</f>
        <v>#REF!</v>
      </c>
      <c r="X41" s="433" t="e">
        <f>0.2*U37</f>
        <v>#REF!</v>
      </c>
      <c r="Y41" s="433" t="e">
        <f>0.15*U37</f>
        <v>#REF!</v>
      </c>
      <c r="Z41" s="433" t="e">
        <f>0.05*U37</f>
        <v>#REF!</v>
      </c>
    </row>
    <row r="42" spans="2:26" x14ac:dyDescent="0.25">
      <c r="B42" s="757"/>
      <c r="C42" s="759"/>
      <c r="D42" s="745"/>
      <c r="E42" s="748"/>
      <c r="F42" s="749"/>
      <c r="G42" s="466" t="e">
        <f t="shared" ref="G42:O42" si="12">G41/$P$41</f>
        <v>#REF!</v>
      </c>
      <c r="H42" s="466">
        <f t="shared" si="12"/>
        <v>0.16590000708839753</v>
      </c>
      <c r="I42" s="466">
        <f t="shared" si="12"/>
        <v>0.12999999249905017</v>
      </c>
      <c r="J42" s="466">
        <f t="shared" si="12"/>
        <v>9.0000005625712337E-2</v>
      </c>
      <c r="K42" s="466">
        <f t="shared" si="12"/>
        <v>6.0000003750474887E-2</v>
      </c>
      <c r="L42" s="466">
        <f t="shared" si="12"/>
        <v>6.0000003750474887E-2</v>
      </c>
      <c r="M42" s="466">
        <f t="shared" si="12"/>
        <v>4.0000010313805977E-2</v>
      </c>
      <c r="N42" s="466">
        <f t="shared" si="12"/>
        <v>4.0000010313805977E-2</v>
      </c>
      <c r="O42" s="466" t="e">
        <f t="shared" si="12"/>
        <v>#REF!</v>
      </c>
      <c r="P42" s="752"/>
      <c r="Q42" s="754"/>
      <c r="R42" s="725"/>
      <c r="S42" s="751"/>
      <c r="V42">
        <v>0.35</v>
      </c>
      <c r="W42">
        <v>0.25</v>
      </c>
      <c r="X42">
        <v>0.2</v>
      </c>
    </row>
    <row r="43" spans="2:26" ht="15.75" thickBot="1" x14ac:dyDescent="0.3">
      <c r="B43" s="757"/>
      <c r="C43" s="759"/>
      <c r="D43" s="744" t="s">
        <v>473</v>
      </c>
      <c r="E43" s="748" t="str">
        <f>'PLANILHA ORÇAMENTÁRIA'!C72</f>
        <v>OBRA DE ARTE ESPECIAL (PONTE)</v>
      </c>
      <c r="F43" s="749">
        <f>'[11]Orça-Sintético Geral'!F36</f>
        <v>482500.00000000006</v>
      </c>
      <c r="G43" s="463"/>
      <c r="H43" s="463"/>
      <c r="I43" s="462">
        <f>ROUND($P43*0.264959431,4)</f>
        <v>20218.249599999999</v>
      </c>
      <c r="J43" s="462">
        <f>ROUND($P43*0.176639622,4)</f>
        <v>13478.8331</v>
      </c>
      <c r="K43" s="462">
        <f>ROUND($P43*0.195260357,4)</f>
        <v>14899.724899999999</v>
      </c>
      <c r="L43" s="462">
        <f>ROUND($P43*0.139471684,4)</f>
        <v>10642.6607</v>
      </c>
      <c r="M43" s="462">
        <f>ROUND($P43*0.11157735,4)</f>
        <v>8514.1286999999993</v>
      </c>
      <c r="N43" s="462">
        <f>ROUND($P43*0.08368301,4)</f>
        <v>6385.5964000000004</v>
      </c>
      <c r="O43" s="462">
        <f>ROUND($P43*0.027894334,4)</f>
        <v>2128.5319</v>
      </c>
      <c r="P43" s="752">
        <f>'PLANILHA ORÇAMENTÁRIA'!L72</f>
        <v>76306.963199999998</v>
      </c>
      <c r="Q43" s="754"/>
      <c r="R43" s="724" t="e">
        <f t="shared" ref="R43" si="13">P43/$Q$45</f>
        <v>#REF!</v>
      </c>
      <c r="S43" s="751"/>
    </row>
    <row r="44" spans="2:26" x14ac:dyDescent="0.25">
      <c r="B44" s="757"/>
      <c r="C44" s="759"/>
      <c r="D44" s="745"/>
      <c r="E44" s="748"/>
      <c r="F44" s="749"/>
      <c r="G44" s="465"/>
      <c r="H44" s="465"/>
      <c r="I44" s="466">
        <f t="shared" ref="I44:O44" si="14">ROUND(I43/$P$43,4)</f>
        <v>0.26500000000000001</v>
      </c>
      <c r="J44" s="466">
        <f t="shared" si="14"/>
        <v>0.17660000000000001</v>
      </c>
      <c r="K44" s="466">
        <f t="shared" si="14"/>
        <v>0.1953</v>
      </c>
      <c r="L44" s="466">
        <f t="shared" si="14"/>
        <v>0.13950000000000001</v>
      </c>
      <c r="M44" s="466">
        <f t="shared" si="14"/>
        <v>0.1116</v>
      </c>
      <c r="N44" s="466">
        <f t="shared" si="14"/>
        <v>8.3699999999999997E-2</v>
      </c>
      <c r="O44" s="466">
        <f t="shared" si="14"/>
        <v>2.7900000000000001E-2</v>
      </c>
      <c r="P44" s="752"/>
      <c r="Q44" s="754"/>
      <c r="R44" s="725"/>
      <c r="S44" s="751"/>
      <c r="U44" s="218">
        <f>I44+J44</f>
        <v>0.44159999999999999</v>
      </c>
      <c r="V44" t="e">
        <f>V41/$P$43</f>
        <v>#REF!</v>
      </c>
      <c r="W44" s="34" t="e">
        <f t="shared" ref="W44:Z44" si="15">W41/$P$43</f>
        <v>#REF!</v>
      </c>
      <c r="X44" s="34" t="e">
        <f t="shared" si="15"/>
        <v>#REF!</v>
      </c>
      <c r="Y44" s="34" t="e">
        <f t="shared" si="15"/>
        <v>#REF!</v>
      </c>
      <c r="Z44" s="34" t="e">
        <f t="shared" si="15"/>
        <v>#REF!</v>
      </c>
    </row>
    <row r="45" spans="2:26" x14ac:dyDescent="0.25">
      <c r="B45" s="726" t="s">
        <v>782</v>
      </c>
      <c r="C45" s="729" t="s">
        <v>783</v>
      </c>
      <c r="D45" s="730"/>
      <c r="E45" s="730"/>
      <c r="F45" s="730"/>
      <c r="G45" s="467" t="e">
        <f t="shared" ref="G45:M45" si="16">G37+G39+G41+G43+G25+G27+G29+G31+G33+G35</f>
        <v>#REF!</v>
      </c>
      <c r="H45" s="468" t="e">
        <f t="shared" si="16"/>
        <v>#REF!</v>
      </c>
      <c r="I45" s="469" t="e">
        <f t="shared" si="16"/>
        <v>#REF!</v>
      </c>
      <c r="J45" s="470" t="e">
        <f t="shared" si="16"/>
        <v>#REF!</v>
      </c>
      <c r="K45" s="471" t="e">
        <f t="shared" si="16"/>
        <v>#REF!</v>
      </c>
      <c r="L45" s="471" t="e">
        <f t="shared" si="16"/>
        <v>#REF!</v>
      </c>
      <c r="M45" s="471" t="e">
        <f t="shared" si="16"/>
        <v>#REF!</v>
      </c>
      <c r="N45" s="499" t="e">
        <f>N25+N27+N29+N31+N33+N35+N37+N39+N41+N43</f>
        <v>#REF!</v>
      </c>
      <c r="O45" s="472" t="e">
        <f>O37+O39+O41+O43+O25+O27+O29+O31+O33+O35</f>
        <v>#REF!</v>
      </c>
      <c r="P45" s="735">
        <f>'[11]Orça-Sintético Geral'!G39</f>
        <v>0</v>
      </c>
      <c r="Q45" s="738" t="e">
        <f>SUM(Q25:Q44)</f>
        <v>#REF!</v>
      </c>
      <c r="R45" s="741" t="e">
        <f>SUM(R25:R44)</f>
        <v>#REF!</v>
      </c>
      <c r="S45" s="709" t="e">
        <f>SUM(S25:S44)</f>
        <v>#REF!</v>
      </c>
      <c r="U45" s="218">
        <f>K44+L44+M44+N44+O44</f>
        <v>0.55800000000000005</v>
      </c>
    </row>
    <row r="46" spans="2:26" x14ac:dyDescent="0.25">
      <c r="B46" s="727"/>
      <c r="C46" s="731"/>
      <c r="D46" s="732"/>
      <c r="E46" s="732"/>
      <c r="F46" s="732"/>
      <c r="G46" s="473" t="e">
        <f>G45</f>
        <v>#REF!</v>
      </c>
      <c r="H46" s="474" t="e">
        <f>G46+H45</f>
        <v>#REF!</v>
      </c>
      <c r="I46" s="475" t="e">
        <f>H46+I45</f>
        <v>#REF!</v>
      </c>
      <c r="J46" s="476" t="e">
        <f>I46+J45</f>
        <v>#REF!</v>
      </c>
      <c r="K46" s="477" t="e">
        <f>J46+K45</f>
        <v>#REF!</v>
      </c>
      <c r="L46" s="477" t="e">
        <f t="shared" ref="L46:M46" si="17">K46+L45</f>
        <v>#REF!</v>
      </c>
      <c r="M46" s="477" t="e">
        <f t="shared" si="17"/>
        <v>#REF!</v>
      </c>
      <c r="N46" s="477" t="e">
        <f>M46+N45</f>
        <v>#REF!</v>
      </c>
      <c r="O46" s="478" t="e">
        <f>N46+O45</f>
        <v>#REF!</v>
      </c>
      <c r="P46" s="736"/>
      <c r="Q46" s="739"/>
      <c r="R46" s="742"/>
      <c r="S46" s="710"/>
    </row>
    <row r="47" spans="2:26" x14ac:dyDescent="0.25">
      <c r="B47" s="727"/>
      <c r="C47" s="731"/>
      <c r="D47" s="732"/>
      <c r="E47" s="732"/>
      <c r="F47" s="732"/>
      <c r="G47" s="479" t="e">
        <f>G45</f>
        <v>#REF!</v>
      </c>
      <c r="H47" s="712" t="e">
        <f>SUM(H45:J45)</f>
        <v>#REF!</v>
      </c>
      <c r="I47" s="713"/>
      <c r="J47" s="714"/>
      <c r="K47" s="715" t="e">
        <f>SUM(K45,L45,M45,N45,O45)</f>
        <v>#REF!</v>
      </c>
      <c r="L47" s="715"/>
      <c r="M47" s="715"/>
      <c r="N47" s="716"/>
      <c r="O47" s="717"/>
      <c r="P47" s="736"/>
      <c r="Q47" s="739"/>
      <c r="R47" s="742"/>
      <c r="S47" s="710"/>
      <c r="U47" s="218">
        <f>U44+U45</f>
        <v>0.99960000000000004</v>
      </c>
      <c r="V47" t="e">
        <f>U59+V59+V44+W44+X44+Y44+Z44</f>
        <v>#REF!</v>
      </c>
    </row>
    <row r="48" spans="2:26" x14ac:dyDescent="0.25">
      <c r="B48" s="727"/>
      <c r="C48" s="731"/>
      <c r="D48" s="732"/>
      <c r="E48" s="732"/>
      <c r="F48" s="732"/>
      <c r="G48" s="480" t="e">
        <f>G45/$Q$45</f>
        <v>#REF!</v>
      </c>
      <c r="H48" s="480" t="e">
        <f t="shared" ref="H48:O48" si="18">H45/$Q$45</f>
        <v>#REF!</v>
      </c>
      <c r="I48" s="480" t="e">
        <f t="shared" si="18"/>
        <v>#REF!</v>
      </c>
      <c r="J48" s="480" t="e">
        <f t="shared" si="18"/>
        <v>#REF!</v>
      </c>
      <c r="K48" s="480" t="e">
        <f t="shared" si="18"/>
        <v>#REF!</v>
      </c>
      <c r="L48" s="480" t="e">
        <f t="shared" si="18"/>
        <v>#REF!</v>
      </c>
      <c r="M48" s="480" t="e">
        <f t="shared" si="18"/>
        <v>#REF!</v>
      </c>
      <c r="N48" s="480" t="e">
        <f t="shared" si="18"/>
        <v>#REF!</v>
      </c>
      <c r="O48" s="480" t="e">
        <f t="shared" si="18"/>
        <v>#REF!</v>
      </c>
      <c r="P48" s="736"/>
      <c r="Q48" s="739"/>
      <c r="R48" s="742"/>
      <c r="S48" s="710"/>
      <c r="V48">
        <v>1</v>
      </c>
      <c r="W48" t="e">
        <f>V48-V47</f>
        <v>#REF!</v>
      </c>
    </row>
    <row r="49" spans="2:23" x14ac:dyDescent="0.25">
      <c r="B49" s="727"/>
      <c r="C49" s="731"/>
      <c r="D49" s="732"/>
      <c r="E49" s="732"/>
      <c r="F49" s="732"/>
      <c r="G49" s="480" t="e">
        <f>G48</f>
        <v>#REF!</v>
      </c>
      <c r="H49" s="481" t="e">
        <f>G49+H48</f>
        <v>#REF!</v>
      </c>
      <c r="I49" s="482" t="e">
        <f>H49+I48</f>
        <v>#REF!</v>
      </c>
      <c r="J49" s="483" t="e">
        <f>I49+J48</f>
        <v>#REF!</v>
      </c>
      <c r="K49" s="484" t="e">
        <f>J49+K48</f>
        <v>#REF!</v>
      </c>
      <c r="L49" s="484" t="e">
        <f t="shared" ref="L49:N49" si="19">K49+L48</f>
        <v>#REF!</v>
      </c>
      <c r="M49" s="484" t="e">
        <f t="shared" si="19"/>
        <v>#REF!</v>
      </c>
      <c r="N49" s="484" t="e">
        <f t="shared" si="19"/>
        <v>#REF!</v>
      </c>
      <c r="O49" s="485" t="e">
        <f>N49+O48</f>
        <v>#REF!</v>
      </c>
      <c r="P49" s="736"/>
      <c r="Q49" s="739"/>
      <c r="R49" s="742"/>
      <c r="S49" s="710"/>
      <c r="W49" t="e">
        <f>W48/7</f>
        <v>#REF!</v>
      </c>
    </row>
    <row r="50" spans="2:23" x14ac:dyDescent="0.25">
      <c r="B50" s="728"/>
      <c r="C50" s="733"/>
      <c r="D50" s="734"/>
      <c r="E50" s="734"/>
      <c r="F50" s="734"/>
      <c r="G50" s="486" t="e">
        <f>G48</f>
        <v>#REF!</v>
      </c>
      <c r="H50" s="718" t="e">
        <f>SUM(H48:J48)</f>
        <v>#REF!</v>
      </c>
      <c r="I50" s="719"/>
      <c r="J50" s="720"/>
      <c r="K50" s="721" t="e">
        <f>SUM(K48:O48)</f>
        <v>#REF!</v>
      </c>
      <c r="L50" s="721"/>
      <c r="M50" s="721"/>
      <c r="N50" s="722"/>
      <c r="O50" s="723"/>
      <c r="P50" s="737"/>
      <c r="Q50" s="740"/>
      <c r="R50" s="743"/>
      <c r="S50" s="711"/>
    </row>
    <row r="51" spans="2:23" x14ac:dyDescent="0.25"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3"/>
      <c r="Q51" s="443"/>
      <c r="R51" s="443"/>
      <c r="S51" s="443"/>
      <c r="U51" s="433" t="e">
        <f>SUM(H37,I37,J37,H39,I39,J39,H41,I41,J41)</f>
        <v>#REF!</v>
      </c>
    </row>
    <row r="52" spans="2:23" x14ac:dyDescent="0.25"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</row>
    <row r="53" spans="2:23" x14ac:dyDescent="0.25"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U53" s="433" t="e">
        <f>H24-U51</f>
        <v>#REF!</v>
      </c>
    </row>
    <row r="54" spans="2:23" x14ac:dyDescent="0.25"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</row>
    <row r="55" spans="2:23" x14ac:dyDescent="0.25">
      <c r="B55" s="446"/>
      <c r="C55" s="446"/>
      <c r="D55" s="446"/>
      <c r="E55" s="446"/>
      <c r="F55" s="446"/>
      <c r="G55" s="446"/>
      <c r="H55" s="446"/>
      <c r="I55" s="505"/>
      <c r="J55" s="505"/>
      <c r="K55" s="505"/>
      <c r="L55" s="505"/>
      <c r="M55" s="505"/>
      <c r="N55" s="505"/>
      <c r="O55" s="505"/>
      <c r="P55" s="446"/>
      <c r="Q55" s="446"/>
      <c r="R55" s="505"/>
      <c r="S55" s="446"/>
    </row>
    <row r="56" spans="2:23" x14ac:dyDescent="0.25"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</row>
    <row r="57" spans="2:23" x14ac:dyDescent="0.25">
      <c r="B57" s="446"/>
      <c r="C57" s="446"/>
      <c r="D57" s="446"/>
      <c r="E57" s="446"/>
      <c r="F57" s="446"/>
      <c r="G57" s="446"/>
      <c r="H57" s="446"/>
      <c r="I57" s="446"/>
      <c r="J57" s="446"/>
      <c r="K57" s="497"/>
      <c r="L57" s="497"/>
      <c r="M57" s="497"/>
      <c r="N57" s="497"/>
      <c r="O57" s="497"/>
      <c r="P57" s="446"/>
      <c r="Q57" s="446"/>
      <c r="R57" s="446"/>
      <c r="S57" s="446"/>
      <c r="U57" s="433" t="e">
        <f>0.6*U53</f>
        <v>#REF!</v>
      </c>
      <c r="V57" s="433" t="e">
        <f>0.4*U53</f>
        <v>#REF!</v>
      </c>
    </row>
    <row r="58" spans="2:23" x14ac:dyDescent="0.25">
      <c r="B58" s="446"/>
      <c r="C58" s="446"/>
      <c r="D58" s="446"/>
      <c r="E58" s="446"/>
      <c r="F58" s="446"/>
      <c r="G58" s="446"/>
      <c r="H58" s="446"/>
      <c r="I58" s="446"/>
      <c r="J58" s="446"/>
      <c r="K58" s="707"/>
      <c r="L58" s="708"/>
      <c r="M58" s="708"/>
      <c r="N58" s="708"/>
      <c r="O58" s="708"/>
      <c r="P58" s="446"/>
      <c r="Q58" s="446"/>
      <c r="R58" s="446"/>
      <c r="S58" s="446"/>
    </row>
    <row r="59" spans="2:23" x14ac:dyDescent="0.25"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  <c r="R59" s="446"/>
      <c r="S59" s="446"/>
      <c r="U59" t="e">
        <f>U57/P43</f>
        <v>#REF!</v>
      </c>
      <c r="V59" s="34" t="e">
        <f>V57/P43</f>
        <v>#REF!</v>
      </c>
    </row>
    <row r="60" spans="2:23" x14ac:dyDescent="0.25"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</row>
    <row r="61" spans="2:23" x14ac:dyDescent="0.25"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</row>
    <row r="62" spans="2:23" x14ac:dyDescent="0.25">
      <c r="B62" s="487"/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  <c r="O62" s="488"/>
      <c r="P62" s="488"/>
      <c r="Q62" s="488"/>
      <c r="R62" s="488"/>
      <c r="S62" s="489"/>
    </row>
  </sheetData>
  <mergeCells count="97">
    <mergeCell ref="H4:L6"/>
    <mergeCell ref="H12:I12"/>
    <mergeCell ref="K12:L12"/>
    <mergeCell ref="H14:I14"/>
    <mergeCell ref="M12:R12"/>
    <mergeCell ref="H13:I13"/>
    <mergeCell ref="K13:L13"/>
    <mergeCell ref="M13:R13"/>
    <mergeCell ref="M4:S7"/>
    <mergeCell ref="H7:L8"/>
    <mergeCell ref="M8:S8"/>
    <mergeCell ref="H9:L11"/>
    <mergeCell ref="M9:S9"/>
    <mergeCell ref="M10:S10"/>
    <mergeCell ref="K14:L14"/>
    <mergeCell ref="M14:R14"/>
    <mergeCell ref="R25:R26"/>
    <mergeCell ref="H15:I15"/>
    <mergeCell ref="K15:L15"/>
    <mergeCell ref="M15:Q15"/>
    <mergeCell ref="P17:Q20"/>
    <mergeCell ref="R17:S20"/>
    <mergeCell ref="G18:O18"/>
    <mergeCell ref="B16:S16"/>
    <mergeCell ref="B17:D24"/>
    <mergeCell ref="E17:F24"/>
    <mergeCell ref="G17:O17"/>
    <mergeCell ref="S21:S24"/>
    <mergeCell ref="H22:J22"/>
    <mergeCell ref="K22:O22"/>
    <mergeCell ref="H23:J23"/>
    <mergeCell ref="K23:O23"/>
    <mergeCell ref="H24:J24"/>
    <mergeCell ref="K24:O24"/>
    <mergeCell ref="H21:J21"/>
    <mergeCell ref="K21:O21"/>
    <mergeCell ref="P21:P24"/>
    <mergeCell ref="Q21:Q24"/>
    <mergeCell ref="R21:R24"/>
    <mergeCell ref="S25:S36"/>
    <mergeCell ref="D27:D28"/>
    <mergeCell ref="E27:F28"/>
    <mergeCell ref="P27:P28"/>
    <mergeCell ref="R27:R28"/>
    <mergeCell ref="D29:D30"/>
    <mergeCell ref="E29:F30"/>
    <mergeCell ref="P29:P30"/>
    <mergeCell ref="R29:R30"/>
    <mergeCell ref="D31:D32"/>
    <mergeCell ref="E31:F32"/>
    <mergeCell ref="P31:P32"/>
    <mergeCell ref="R31:R32"/>
    <mergeCell ref="P33:P34"/>
    <mergeCell ref="R33:R34"/>
    <mergeCell ref="R35:R36"/>
    <mergeCell ref="P25:P26"/>
    <mergeCell ref="Q25:Q36"/>
    <mergeCell ref="B37:B44"/>
    <mergeCell ref="C37:C44"/>
    <mergeCell ref="D37:D38"/>
    <mergeCell ref="E37:F38"/>
    <mergeCell ref="P37:P38"/>
    <mergeCell ref="D35:D36"/>
    <mergeCell ref="E35:F36"/>
    <mergeCell ref="P35:P36"/>
    <mergeCell ref="B25:B36"/>
    <mergeCell ref="C25:C36"/>
    <mergeCell ref="D25:D26"/>
    <mergeCell ref="E25:F26"/>
    <mergeCell ref="D33:D34"/>
    <mergeCell ref="E33:F34"/>
    <mergeCell ref="S37:S44"/>
    <mergeCell ref="D39:D40"/>
    <mergeCell ref="E39:F40"/>
    <mergeCell ref="P39:P40"/>
    <mergeCell ref="R39:R40"/>
    <mergeCell ref="D41:D42"/>
    <mergeCell ref="E41:F42"/>
    <mergeCell ref="P41:P42"/>
    <mergeCell ref="R41:R42"/>
    <mergeCell ref="D43:D44"/>
    <mergeCell ref="E43:F44"/>
    <mergeCell ref="P43:P44"/>
    <mergeCell ref="R43:R44"/>
    <mergeCell ref="Q37:Q44"/>
    <mergeCell ref="R37:R38"/>
    <mergeCell ref="B45:B50"/>
    <mergeCell ref="C45:F50"/>
    <mergeCell ref="P45:P50"/>
    <mergeCell ref="Q45:Q50"/>
    <mergeCell ref="R45:R50"/>
    <mergeCell ref="K58:O58"/>
    <mergeCell ref="S45:S50"/>
    <mergeCell ref="H47:J47"/>
    <mergeCell ref="K47:O47"/>
    <mergeCell ref="H50:J50"/>
    <mergeCell ref="K50:O50"/>
  </mergeCells>
  <phoneticPr fontId="56" type="noConversion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2DC5-C511-4D64-A4B8-ED7B631BFE48}">
  <sheetPr>
    <pageSetUpPr fitToPage="1"/>
  </sheetPr>
  <dimension ref="C2:M304"/>
  <sheetViews>
    <sheetView view="pageBreakPreview" topLeftCell="D30" zoomScale="60" zoomScaleNormal="55" workbookViewId="0">
      <selection activeCell="L42" sqref="L42"/>
    </sheetView>
  </sheetViews>
  <sheetFormatPr defaultRowHeight="15" x14ac:dyDescent="0.25"/>
  <cols>
    <col min="3" max="3" width="28.42578125" customWidth="1"/>
    <col min="4" max="4" width="23.140625" customWidth="1"/>
    <col min="5" max="5" width="23.42578125" customWidth="1"/>
    <col min="6" max="6" width="18.5703125" customWidth="1"/>
    <col min="7" max="7" width="98.42578125" customWidth="1"/>
    <col min="8" max="8" width="24.7109375" customWidth="1"/>
    <col min="9" max="9" width="14.28515625" customWidth="1"/>
    <col min="11" max="11" width="39" customWidth="1"/>
    <col min="12" max="12" width="18.85546875" customWidth="1"/>
    <col min="13" max="13" width="19.85546875" customWidth="1"/>
  </cols>
  <sheetData>
    <row r="2" spans="3:13" s="34" customFormat="1" x14ac:dyDescent="0.25"/>
    <row r="3" spans="3:13" s="34" customFormat="1" x14ac:dyDescent="0.25"/>
    <row r="4" spans="3:13" s="34" customFormat="1" ht="15.75" thickBot="1" x14ac:dyDescent="0.3"/>
    <row r="5" spans="3:13" s="34" customFormat="1" ht="15" customHeight="1" x14ac:dyDescent="0.25">
      <c r="C5" s="650" t="s">
        <v>723</v>
      </c>
      <c r="D5" s="837"/>
      <c r="E5" s="837"/>
      <c r="F5" s="651"/>
      <c r="G5" s="840" t="s">
        <v>735</v>
      </c>
      <c r="H5" s="841"/>
      <c r="I5" s="841"/>
      <c r="J5" s="841"/>
      <c r="K5" s="841"/>
      <c r="L5" s="841"/>
      <c r="M5" s="842"/>
    </row>
    <row r="6" spans="3:13" s="34" customFormat="1" ht="15" customHeight="1" x14ac:dyDescent="0.25">
      <c r="C6" s="652"/>
      <c r="D6" s="838"/>
      <c r="E6" s="838"/>
      <c r="F6" s="653"/>
      <c r="G6" s="638"/>
      <c r="H6" s="639"/>
      <c r="I6" s="639"/>
      <c r="J6" s="639"/>
      <c r="K6" s="639"/>
      <c r="L6" s="639"/>
      <c r="M6" s="640"/>
    </row>
    <row r="7" spans="3:13" s="34" customFormat="1" ht="15.75" customHeight="1" x14ac:dyDescent="0.25">
      <c r="C7" s="652"/>
      <c r="D7" s="838"/>
      <c r="E7" s="838"/>
      <c r="F7" s="653"/>
      <c r="G7" s="638" t="s">
        <v>734</v>
      </c>
      <c r="H7" s="639"/>
      <c r="I7" s="639"/>
      <c r="J7" s="639"/>
      <c r="K7" s="639"/>
      <c r="L7" s="639"/>
      <c r="M7" s="640"/>
    </row>
    <row r="8" spans="3:13" s="34" customFormat="1" ht="15" customHeight="1" x14ac:dyDescent="0.25">
      <c r="C8" s="652"/>
      <c r="D8" s="838"/>
      <c r="E8" s="838"/>
      <c r="F8" s="653"/>
      <c r="G8" s="638" t="s">
        <v>738</v>
      </c>
      <c r="H8" s="639"/>
      <c r="I8" s="639"/>
      <c r="J8" s="639"/>
      <c r="K8" s="639"/>
      <c r="L8" s="639"/>
      <c r="M8" s="640"/>
    </row>
    <row r="9" spans="3:13" s="34" customFormat="1" ht="15" customHeight="1" x14ac:dyDescent="0.25">
      <c r="C9" s="652"/>
      <c r="D9" s="838"/>
      <c r="E9" s="838"/>
      <c r="F9" s="653"/>
      <c r="G9" s="843"/>
      <c r="H9" s="844"/>
      <c r="I9" s="844"/>
      <c r="J9" s="844"/>
      <c r="K9" s="844"/>
      <c r="L9" s="844"/>
      <c r="M9" s="845"/>
    </row>
    <row r="10" spans="3:13" s="34" customFormat="1" ht="15.75" x14ac:dyDescent="0.25">
      <c r="C10" s="652"/>
      <c r="D10" s="838"/>
      <c r="E10" s="838"/>
      <c r="F10" s="653"/>
      <c r="G10" s="424"/>
      <c r="H10" s="422"/>
      <c r="I10" s="423"/>
      <c r="J10" s="423"/>
      <c r="K10" s="424"/>
      <c r="L10" s="422"/>
      <c r="M10" s="524"/>
    </row>
    <row r="11" spans="3:13" s="34" customFormat="1" x14ac:dyDescent="0.25">
      <c r="C11" s="652"/>
      <c r="D11" s="838"/>
      <c r="E11" s="838"/>
      <c r="F11" s="653"/>
      <c r="G11" s="430" t="s">
        <v>741</v>
      </c>
      <c r="H11" s="659" t="s">
        <v>742</v>
      </c>
      <c r="I11" s="657"/>
      <c r="J11" s="657"/>
      <c r="K11" s="658"/>
      <c r="L11" s="659">
        <f>'[11]Memória de Cálculo Geral'!O11</f>
        <v>0</v>
      </c>
      <c r="M11" s="660"/>
    </row>
    <row r="12" spans="3:13" s="34" customFormat="1" x14ac:dyDescent="0.25">
      <c r="C12" s="652"/>
      <c r="D12" s="838"/>
      <c r="E12" s="838"/>
      <c r="F12" s="653"/>
      <c r="G12" s="425">
        <f>'MEM. DE CALCULO'!E6</f>
        <v>0</v>
      </c>
      <c r="H12" s="645">
        <f>'MEM. DE CALCULO'!F6</f>
        <v>0</v>
      </c>
      <c r="I12" s="633"/>
      <c r="J12" s="633"/>
      <c r="K12" s="634"/>
      <c r="L12" s="645">
        <f>G12+H12</f>
        <v>0</v>
      </c>
      <c r="M12" s="661"/>
    </row>
    <row r="13" spans="3:13" s="34" customFormat="1" x14ac:dyDescent="0.25">
      <c r="C13" s="652"/>
      <c r="D13" s="838"/>
      <c r="E13" s="838"/>
      <c r="F13" s="653"/>
      <c r="G13" s="426" t="e">
        <f>'MEM. DE CALCULO'!E7</f>
        <v>#DIV/0!</v>
      </c>
      <c r="H13" s="635" t="e">
        <f>'MEM. DE CALCULO'!F7</f>
        <v>#DIV/0!</v>
      </c>
      <c r="I13" s="636"/>
      <c r="J13" s="636"/>
      <c r="K13" s="637"/>
      <c r="L13" s="635" t="e">
        <f>G13+H13</f>
        <v>#DIV/0!</v>
      </c>
      <c r="M13" s="656"/>
    </row>
    <row r="14" spans="3:13" s="34" customFormat="1" x14ac:dyDescent="0.25">
      <c r="C14" s="652"/>
      <c r="D14" s="838"/>
      <c r="E14" s="838"/>
      <c r="F14" s="653"/>
      <c r="G14" s="427"/>
      <c r="H14" s="427"/>
      <c r="I14" s="427"/>
      <c r="J14" s="427"/>
      <c r="K14" s="427"/>
      <c r="L14" s="427"/>
      <c r="M14" s="525"/>
    </row>
    <row r="15" spans="3:13" s="34" customFormat="1" ht="15.75" x14ac:dyDescent="0.25">
      <c r="C15" s="652"/>
      <c r="D15" s="838"/>
      <c r="E15" s="838"/>
      <c r="F15" s="653"/>
      <c r="G15" s="644" t="s">
        <v>733</v>
      </c>
      <c r="H15" s="644"/>
      <c r="I15" s="644"/>
      <c r="J15" s="644"/>
      <c r="K15" s="644"/>
      <c r="L15" s="644"/>
      <c r="M15" s="526">
        <v>0.25600000000000001</v>
      </c>
    </row>
    <row r="16" spans="3:13" s="34" customFormat="1" ht="15.75" x14ac:dyDescent="0.25">
      <c r="C16" s="652"/>
      <c r="D16" s="838"/>
      <c r="E16" s="838"/>
      <c r="F16" s="653"/>
      <c r="G16" s="644" t="s">
        <v>731</v>
      </c>
      <c r="H16" s="644"/>
      <c r="I16" s="644"/>
      <c r="J16" s="644"/>
      <c r="K16" s="644"/>
      <c r="L16" s="644"/>
      <c r="M16" s="526">
        <v>1.1554</v>
      </c>
    </row>
    <row r="17" spans="3:13" s="34" customFormat="1" ht="15.75" x14ac:dyDescent="0.25">
      <c r="C17" s="652"/>
      <c r="D17" s="838"/>
      <c r="E17" s="838"/>
      <c r="F17" s="653"/>
      <c r="G17" s="644" t="s">
        <v>732</v>
      </c>
      <c r="H17" s="644"/>
      <c r="I17" s="644"/>
      <c r="J17" s="644"/>
      <c r="K17" s="644"/>
      <c r="L17" s="644"/>
      <c r="M17" s="526">
        <v>0.72970000000000002</v>
      </c>
    </row>
    <row r="18" spans="3:13" s="34" customFormat="1" ht="15.75" thickBot="1" x14ac:dyDescent="0.3">
      <c r="C18" s="654"/>
      <c r="D18" s="839"/>
      <c r="E18" s="839"/>
      <c r="F18" s="655"/>
      <c r="G18" s="428"/>
      <c r="H18" s="428"/>
      <c r="I18" s="428"/>
      <c r="J18" s="428"/>
      <c r="K18" s="428"/>
      <c r="L18" s="429"/>
      <c r="M18" s="527"/>
    </row>
    <row r="19" spans="3:13" s="34" customFormat="1" x14ac:dyDescent="0.25">
      <c r="C19" s="646"/>
      <c r="D19" s="647"/>
      <c r="E19" s="647"/>
      <c r="F19" s="647"/>
      <c r="G19" s="648"/>
      <c r="H19" s="648"/>
      <c r="I19" s="648"/>
      <c r="J19" s="648"/>
      <c r="K19" s="648"/>
      <c r="L19" s="648"/>
      <c r="M19" s="649"/>
    </row>
    <row r="20" spans="3:13" s="34" customFormat="1" ht="15.75" x14ac:dyDescent="0.25">
      <c r="C20" s="638" t="s">
        <v>740</v>
      </c>
      <c r="D20" s="639"/>
      <c r="E20" s="639"/>
      <c r="F20" s="639"/>
      <c r="G20" s="639"/>
      <c r="H20" s="639"/>
      <c r="I20" s="639"/>
      <c r="J20" s="639"/>
      <c r="K20" s="639"/>
      <c r="L20" s="639"/>
      <c r="M20" s="640"/>
    </row>
    <row r="21" spans="3:13" s="34" customFormat="1" x14ac:dyDescent="0.25">
      <c r="C21" s="641" t="s">
        <v>736</v>
      </c>
      <c r="D21" s="642"/>
      <c r="E21" s="642"/>
      <c r="F21" s="642"/>
      <c r="G21" s="642"/>
      <c r="H21" s="642"/>
      <c r="I21" s="642"/>
      <c r="J21" s="642"/>
      <c r="K21" s="642"/>
      <c r="L21" s="642"/>
      <c r="M21" s="643"/>
    </row>
    <row r="22" spans="3:13" s="34" customFormat="1" x14ac:dyDescent="0.25">
      <c r="C22" s="641" t="s">
        <v>737</v>
      </c>
      <c r="D22" s="642"/>
      <c r="E22" s="642"/>
      <c r="F22" s="642"/>
      <c r="G22" s="642"/>
      <c r="H22" s="642"/>
      <c r="I22" s="642"/>
      <c r="J22" s="642"/>
      <c r="K22" s="642"/>
      <c r="L22" s="642"/>
      <c r="M22" s="643"/>
    </row>
    <row r="23" spans="3:13" s="34" customFormat="1" ht="15.75" x14ac:dyDescent="0.25">
      <c r="C23" s="834" t="s">
        <v>743</v>
      </c>
      <c r="D23" s="835"/>
      <c r="E23" s="835"/>
      <c r="F23" s="835"/>
      <c r="G23" s="835"/>
      <c r="H23" s="835"/>
      <c r="I23" s="835"/>
      <c r="J23" s="835"/>
      <c r="K23" s="835"/>
      <c r="L23" s="835"/>
      <c r="M23" s="836"/>
    </row>
    <row r="24" spans="3:13" s="34" customFormat="1" x14ac:dyDescent="0.25">
      <c r="C24" s="528"/>
      <c r="D24" s="529"/>
      <c r="E24" s="529"/>
      <c r="F24" s="529"/>
      <c r="G24" s="529"/>
      <c r="H24" s="529"/>
      <c r="I24" s="529"/>
      <c r="J24" s="529"/>
      <c r="K24" s="529"/>
      <c r="L24" s="529"/>
      <c r="M24" s="530"/>
    </row>
    <row r="25" spans="3:13" ht="15.75" thickBot="1" x14ac:dyDescent="0.3">
      <c r="C25" s="151"/>
      <c r="D25" s="54"/>
      <c r="E25" s="54"/>
      <c r="F25" s="54"/>
      <c r="G25" s="54"/>
      <c r="H25" s="54"/>
      <c r="I25" s="54"/>
      <c r="J25" s="54"/>
      <c r="K25" s="54"/>
      <c r="L25" s="54"/>
      <c r="M25" s="199"/>
    </row>
    <row r="26" spans="3:13" ht="15.75" x14ac:dyDescent="0.25">
      <c r="C26" s="889" t="s">
        <v>231</v>
      </c>
      <c r="D26" s="890"/>
      <c r="E26" s="890"/>
      <c r="F26" s="890"/>
      <c r="G26" s="890"/>
      <c r="H26" s="890"/>
      <c r="I26" s="890"/>
      <c r="J26" s="890"/>
      <c r="K26" s="890"/>
      <c r="L26" s="890"/>
      <c r="M26" s="891"/>
    </row>
    <row r="27" spans="3:13" ht="15.75" x14ac:dyDescent="0.25">
      <c r="C27" s="892" t="s">
        <v>232</v>
      </c>
      <c r="D27" s="893"/>
      <c r="E27" s="893"/>
      <c r="F27" s="893"/>
      <c r="G27" s="893"/>
      <c r="H27" s="893"/>
      <c r="I27" s="893"/>
      <c r="J27" s="893"/>
      <c r="K27" s="893"/>
      <c r="L27" s="893"/>
      <c r="M27" s="894"/>
    </row>
    <row r="28" spans="3:13" ht="15.75" x14ac:dyDescent="0.25">
      <c r="C28" s="70"/>
      <c r="D28" s="71" t="s">
        <v>233</v>
      </c>
      <c r="E28" s="71" t="s">
        <v>234</v>
      </c>
      <c r="F28" s="71" t="s">
        <v>235</v>
      </c>
      <c r="G28" s="86" t="s">
        <v>236</v>
      </c>
      <c r="H28" s="851" t="s">
        <v>237</v>
      </c>
      <c r="I28" s="851"/>
      <c r="J28" s="410" t="s">
        <v>238</v>
      </c>
      <c r="K28" s="410" t="s">
        <v>239</v>
      </c>
      <c r="L28" s="410" t="s">
        <v>240</v>
      </c>
      <c r="M28" s="74" t="s">
        <v>30</v>
      </c>
    </row>
    <row r="29" spans="3:13" ht="15.75" x14ac:dyDescent="0.25">
      <c r="C29" s="121" t="s">
        <v>241</v>
      </c>
      <c r="D29" s="4" t="s">
        <v>5</v>
      </c>
      <c r="E29" s="4" t="s">
        <v>242</v>
      </c>
      <c r="F29" s="4" t="s">
        <v>243</v>
      </c>
      <c r="G29" s="122" t="s">
        <v>244</v>
      </c>
      <c r="H29" s="846" t="s">
        <v>245</v>
      </c>
      <c r="I29" s="846"/>
      <c r="J29" s="418" t="s">
        <v>6</v>
      </c>
      <c r="K29" s="418">
        <v>1</v>
      </c>
      <c r="L29" s="308">
        <v>295.94</v>
      </c>
      <c r="M29" s="309">
        <f>SUM(M30:M36)</f>
        <v>295.42904000000004</v>
      </c>
    </row>
    <row r="30" spans="3:13" ht="15.75" x14ac:dyDescent="0.25">
      <c r="C30" s="121" t="s">
        <v>246</v>
      </c>
      <c r="D30" s="4"/>
      <c r="E30" s="4" t="s">
        <v>247</v>
      </c>
      <c r="F30" s="4" t="s">
        <v>243</v>
      </c>
      <c r="G30" s="337" t="s">
        <v>17</v>
      </c>
      <c r="H30" s="846" t="s">
        <v>248</v>
      </c>
      <c r="I30" s="846"/>
      <c r="J30" s="418" t="s">
        <v>48</v>
      </c>
      <c r="K30" s="418" t="s">
        <v>249</v>
      </c>
      <c r="L30" s="308">
        <v>10.93</v>
      </c>
      <c r="M30" s="309">
        <f>K30*L30</f>
        <v>21.86</v>
      </c>
    </row>
    <row r="31" spans="3:13" ht="15.75" x14ac:dyDescent="0.25">
      <c r="C31" s="121" t="s">
        <v>246</v>
      </c>
      <c r="D31" s="4"/>
      <c r="E31" s="4" t="s">
        <v>250</v>
      </c>
      <c r="F31" s="4" t="s">
        <v>243</v>
      </c>
      <c r="G31" s="337" t="s">
        <v>20</v>
      </c>
      <c r="H31" s="846" t="s">
        <v>248</v>
      </c>
      <c r="I31" s="846"/>
      <c r="J31" s="418" t="s">
        <v>48</v>
      </c>
      <c r="K31" s="418" t="s">
        <v>251</v>
      </c>
      <c r="L31" s="308">
        <v>14.59</v>
      </c>
      <c r="M31" s="309">
        <f t="shared" ref="M31:M36" si="0">K31*L31</f>
        <v>14.59</v>
      </c>
    </row>
    <row r="32" spans="3:13" ht="34.5" customHeight="1" x14ac:dyDescent="0.25">
      <c r="C32" s="121" t="s">
        <v>246</v>
      </c>
      <c r="D32" s="4"/>
      <c r="E32" s="4" t="s">
        <v>252</v>
      </c>
      <c r="F32" s="4" t="s">
        <v>243</v>
      </c>
      <c r="G32" s="337" t="s">
        <v>24</v>
      </c>
      <c r="H32" s="846" t="s">
        <v>253</v>
      </c>
      <c r="I32" s="846"/>
      <c r="J32" s="418" t="s">
        <v>11</v>
      </c>
      <c r="K32" s="310">
        <v>0.02</v>
      </c>
      <c r="L32" s="308">
        <v>207.46</v>
      </c>
      <c r="M32" s="309">
        <f t="shared" si="0"/>
        <v>4.1492000000000004</v>
      </c>
    </row>
    <row r="33" spans="3:13" ht="34.5" customHeight="1" x14ac:dyDescent="0.25">
      <c r="C33" s="121" t="s">
        <v>254</v>
      </c>
      <c r="D33" s="4"/>
      <c r="E33" s="4" t="s">
        <v>255</v>
      </c>
      <c r="F33" s="4" t="s">
        <v>243</v>
      </c>
      <c r="G33" s="125" t="s">
        <v>44</v>
      </c>
      <c r="H33" s="846" t="s">
        <v>256</v>
      </c>
      <c r="I33" s="846"/>
      <c r="J33" s="418" t="s">
        <v>45</v>
      </c>
      <c r="K33" s="418" t="s">
        <v>251</v>
      </c>
      <c r="L33" s="308">
        <v>3.29</v>
      </c>
      <c r="M33" s="309">
        <f t="shared" si="0"/>
        <v>3.29</v>
      </c>
    </row>
    <row r="34" spans="3:13" ht="15.75" x14ac:dyDescent="0.25">
      <c r="C34" s="121" t="s">
        <v>254</v>
      </c>
      <c r="D34" s="4"/>
      <c r="E34" s="4" t="s">
        <v>257</v>
      </c>
      <c r="F34" s="4" t="s">
        <v>243</v>
      </c>
      <c r="G34" s="125" t="s">
        <v>23</v>
      </c>
      <c r="H34" s="846" t="s">
        <v>256</v>
      </c>
      <c r="I34" s="846"/>
      <c r="J34" s="418" t="s">
        <v>47</v>
      </c>
      <c r="K34" s="418">
        <v>8.7999999999999995E-2</v>
      </c>
      <c r="L34" s="308">
        <v>10.68</v>
      </c>
      <c r="M34" s="309">
        <f t="shared" si="0"/>
        <v>0.9398399999999999</v>
      </c>
    </row>
    <row r="35" spans="3:13" ht="31.5" x14ac:dyDescent="0.25">
      <c r="C35" s="121" t="s">
        <v>254</v>
      </c>
      <c r="D35" s="4"/>
      <c r="E35" s="4" t="s">
        <v>259</v>
      </c>
      <c r="F35" s="4" t="s">
        <v>243</v>
      </c>
      <c r="G35" s="125" t="s">
        <v>46</v>
      </c>
      <c r="H35" s="846" t="s">
        <v>256</v>
      </c>
      <c r="I35" s="846"/>
      <c r="J35" s="418" t="s">
        <v>6</v>
      </c>
      <c r="K35" s="418" t="s">
        <v>251</v>
      </c>
      <c r="L35" s="308">
        <v>225</v>
      </c>
      <c r="M35" s="309">
        <f t="shared" si="0"/>
        <v>225</v>
      </c>
    </row>
    <row r="36" spans="3:13" ht="15.75" x14ac:dyDescent="0.25">
      <c r="C36" s="121" t="s">
        <v>254</v>
      </c>
      <c r="D36" s="4"/>
      <c r="E36" s="4" t="s">
        <v>260</v>
      </c>
      <c r="F36" s="4" t="s">
        <v>243</v>
      </c>
      <c r="G36" s="125" t="s">
        <v>22</v>
      </c>
      <c r="H36" s="846" t="s">
        <v>256</v>
      </c>
      <c r="I36" s="846"/>
      <c r="J36" s="418" t="s">
        <v>45</v>
      </c>
      <c r="K36" s="418" t="s">
        <v>261</v>
      </c>
      <c r="L36" s="308">
        <v>6.4</v>
      </c>
      <c r="M36" s="309">
        <f t="shared" si="0"/>
        <v>25.6</v>
      </c>
    </row>
    <row r="37" spans="3:13" ht="15.75" x14ac:dyDescent="0.25">
      <c r="C37" s="121"/>
      <c r="D37" s="4"/>
      <c r="E37" s="4"/>
      <c r="F37" s="4"/>
      <c r="G37" s="125"/>
      <c r="H37" s="353" t="s">
        <v>262</v>
      </c>
      <c r="I37" s="354">
        <f>M15*M29</f>
        <v>75.629834240000008</v>
      </c>
      <c r="J37" s="877" t="s">
        <v>263</v>
      </c>
      <c r="K37" s="877"/>
      <c r="L37" s="887">
        <f>M29+I37</f>
        <v>371.05887424000002</v>
      </c>
      <c r="M37" s="888"/>
    </row>
    <row r="38" spans="3:13" ht="16.5" thickBot="1" x14ac:dyDescent="0.3">
      <c r="C38" s="121"/>
      <c r="D38" s="4"/>
      <c r="E38" s="4"/>
      <c r="F38" s="4"/>
      <c r="G38" s="125"/>
      <c r="H38" s="418"/>
      <c r="I38" s="418"/>
      <c r="J38" s="418"/>
      <c r="K38" s="418"/>
      <c r="L38" s="418"/>
      <c r="M38" s="311"/>
    </row>
    <row r="39" spans="3:13" s="34" customFormat="1" ht="16.5" thickBot="1" x14ac:dyDescent="0.3">
      <c r="C39" s="531"/>
      <c r="D39" s="355" t="s">
        <v>233</v>
      </c>
      <c r="E39" s="355" t="s">
        <v>234</v>
      </c>
      <c r="F39" s="355" t="s">
        <v>235</v>
      </c>
      <c r="G39" s="356" t="s">
        <v>264</v>
      </c>
      <c r="H39" s="857" t="s">
        <v>237</v>
      </c>
      <c r="I39" s="857"/>
      <c r="J39" s="413" t="s">
        <v>238</v>
      </c>
      <c r="K39" s="413" t="s">
        <v>239</v>
      </c>
      <c r="L39" s="413" t="s">
        <v>240</v>
      </c>
      <c r="M39" s="413" t="s">
        <v>30</v>
      </c>
    </row>
    <row r="40" spans="3:13" s="34" customFormat="1" ht="15.75" x14ac:dyDescent="0.25">
      <c r="C40" s="378" t="s">
        <v>241</v>
      </c>
      <c r="D40" s="357" t="s">
        <v>8</v>
      </c>
      <c r="E40" s="358" t="s">
        <v>241</v>
      </c>
      <c r="F40" s="358" t="s">
        <v>689</v>
      </c>
      <c r="G40" s="359" t="s">
        <v>690</v>
      </c>
      <c r="H40" s="858" t="s">
        <v>245</v>
      </c>
      <c r="I40" s="858"/>
      <c r="J40" s="360" t="s">
        <v>6</v>
      </c>
      <c r="K40" s="360">
        <v>1</v>
      </c>
      <c r="L40" s="361">
        <v>295.94</v>
      </c>
      <c r="M40" s="532">
        <f>SUM(M41:M44)</f>
        <v>19338.593993749997</v>
      </c>
    </row>
    <row r="41" spans="3:13" s="34" customFormat="1" ht="15.75" x14ac:dyDescent="0.25">
      <c r="C41" s="533"/>
      <c r="D41" s="362"/>
      <c r="E41" s="363">
        <v>88326</v>
      </c>
      <c r="F41" s="362" t="s">
        <v>243</v>
      </c>
      <c r="G41" s="350" t="s">
        <v>691</v>
      </c>
      <c r="H41" s="886" t="s">
        <v>248</v>
      </c>
      <c r="I41" s="886"/>
      <c r="J41" s="364" t="s">
        <v>48</v>
      </c>
      <c r="K41" s="365">
        <v>322.91649999999998</v>
      </c>
      <c r="L41" s="366">
        <v>17.287500000000001</v>
      </c>
      <c r="M41" s="534">
        <f>K41*L41</f>
        <v>5582.4189937500005</v>
      </c>
    </row>
    <row r="42" spans="3:13" s="34" customFormat="1" ht="15.75" x14ac:dyDescent="0.25">
      <c r="C42" s="535"/>
      <c r="D42" s="363"/>
      <c r="E42" s="363">
        <v>88255</v>
      </c>
      <c r="F42" s="363" t="s">
        <v>243</v>
      </c>
      <c r="G42" s="350" t="s">
        <v>692</v>
      </c>
      <c r="H42" s="885" t="s">
        <v>248</v>
      </c>
      <c r="I42" s="885"/>
      <c r="J42" s="364" t="s">
        <v>48</v>
      </c>
      <c r="K42" s="365">
        <v>120</v>
      </c>
      <c r="L42" s="366">
        <v>23.099999999999998</v>
      </c>
      <c r="M42" s="534">
        <f t="shared" ref="M42:M44" si="1">K42*L42</f>
        <v>2771.9999999999995</v>
      </c>
    </row>
    <row r="43" spans="3:13" s="34" customFormat="1" ht="15.75" x14ac:dyDescent="0.25">
      <c r="C43" s="535"/>
      <c r="D43" s="363"/>
      <c r="E43" s="363">
        <v>90777</v>
      </c>
      <c r="F43" s="363" t="s">
        <v>243</v>
      </c>
      <c r="G43" s="350" t="s">
        <v>693</v>
      </c>
      <c r="H43" s="885" t="s">
        <v>248</v>
      </c>
      <c r="I43" s="885"/>
      <c r="J43" s="364" t="s">
        <v>48</v>
      </c>
      <c r="K43" s="365">
        <v>20</v>
      </c>
      <c r="L43" s="366">
        <v>91.487499999999997</v>
      </c>
      <c r="M43" s="534">
        <f t="shared" si="1"/>
        <v>1829.75</v>
      </c>
    </row>
    <row r="44" spans="3:13" s="34" customFormat="1" ht="15.75" x14ac:dyDescent="0.25">
      <c r="C44" s="535"/>
      <c r="D44" s="363"/>
      <c r="E44" s="363">
        <v>90776</v>
      </c>
      <c r="F44" s="363" t="s">
        <v>243</v>
      </c>
      <c r="G44" s="350" t="s">
        <v>694</v>
      </c>
      <c r="H44" s="885" t="s">
        <v>248</v>
      </c>
      <c r="I44" s="885"/>
      <c r="J44" s="364" t="s">
        <v>48</v>
      </c>
      <c r="K44" s="365">
        <v>318</v>
      </c>
      <c r="L44" s="366">
        <v>28.787499999999994</v>
      </c>
      <c r="M44" s="534">
        <f t="shared" si="1"/>
        <v>9154.4249999999975</v>
      </c>
    </row>
    <row r="45" spans="3:13" s="34" customFormat="1" ht="15.75" x14ac:dyDescent="0.25">
      <c r="C45" s="535"/>
      <c r="D45" s="363"/>
      <c r="E45" s="363"/>
      <c r="F45" s="363"/>
      <c r="G45" s="350"/>
      <c r="H45" s="546"/>
      <c r="I45" s="546"/>
      <c r="J45" s="547"/>
      <c r="K45" s="548"/>
      <c r="L45" s="549"/>
      <c r="M45" s="550"/>
    </row>
    <row r="46" spans="3:13" s="34" customFormat="1" ht="15.75" customHeight="1" x14ac:dyDescent="0.25">
      <c r="C46" s="535"/>
      <c r="D46" s="363"/>
      <c r="E46" s="363"/>
      <c r="F46" s="363"/>
      <c r="G46" s="367"/>
      <c r="H46" s="353" t="s">
        <v>262</v>
      </c>
      <c r="I46" s="354">
        <f>M15*M40</f>
        <v>4950.6800623999998</v>
      </c>
      <c r="J46" s="877" t="s">
        <v>263</v>
      </c>
      <c r="K46" s="877"/>
      <c r="L46" s="887">
        <f>M40+I46</f>
        <v>24289.274056149996</v>
      </c>
      <c r="M46" s="888"/>
    </row>
    <row r="47" spans="3:13" s="34" customFormat="1" ht="15.75" x14ac:dyDescent="0.25">
      <c r="C47" s="121"/>
      <c r="D47" s="4"/>
      <c r="E47" s="4"/>
      <c r="F47" s="4"/>
      <c r="G47" s="125"/>
      <c r="H47" s="418"/>
      <c r="I47" s="418"/>
      <c r="J47" s="418"/>
      <c r="K47" s="418"/>
      <c r="L47" s="418"/>
      <c r="M47" s="311"/>
    </row>
    <row r="48" spans="3:13" s="34" customFormat="1" ht="15.75" x14ac:dyDescent="0.25">
      <c r="C48" s="121"/>
      <c r="D48" s="4"/>
      <c r="E48" s="4"/>
      <c r="F48" s="4"/>
      <c r="G48" s="125"/>
      <c r="H48" s="418"/>
      <c r="I48" s="418"/>
      <c r="J48" s="418"/>
      <c r="K48" s="418"/>
      <c r="L48" s="418"/>
      <c r="M48" s="311"/>
    </row>
    <row r="49" spans="3:13" s="34" customFormat="1" ht="15.75" x14ac:dyDescent="0.25">
      <c r="C49" s="121"/>
      <c r="D49" s="4"/>
      <c r="E49" s="4"/>
      <c r="F49" s="4"/>
      <c r="G49" s="125"/>
      <c r="H49" s="418"/>
      <c r="I49" s="418"/>
      <c r="J49" s="418"/>
      <c r="K49" s="418"/>
      <c r="L49" s="418"/>
      <c r="M49" s="311"/>
    </row>
    <row r="50" spans="3:13" ht="16.5" thickBot="1" x14ac:dyDescent="0.3">
      <c r="C50" s="70"/>
      <c r="D50" s="71" t="s">
        <v>233</v>
      </c>
      <c r="E50" s="71" t="s">
        <v>234</v>
      </c>
      <c r="F50" s="71" t="s">
        <v>235</v>
      </c>
      <c r="G50" s="86" t="s">
        <v>264</v>
      </c>
      <c r="H50" s="851" t="s">
        <v>237</v>
      </c>
      <c r="I50" s="851"/>
      <c r="J50" s="410" t="s">
        <v>238</v>
      </c>
      <c r="K50" s="410" t="s">
        <v>239</v>
      </c>
      <c r="L50" s="410" t="s">
        <v>240</v>
      </c>
      <c r="M50" s="74" t="s">
        <v>30</v>
      </c>
    </row>
    <row r="51" spans="3:13" x14ac:dyDescent="0.25">
      <c r="C51" s="340" t="str">
        <f>C35</f>
        <v>Insumo da Composição</v>
      </c>
      <c r="D51" s="341" t="s">
        <v>684</v>
      </c>
      <c r="E51" s="342"/>
      <c r="F51" s="342"/>
      <c r="G51" s="343" t="s">
        <v>685</v>
      </c>
      <c r="H51" s="342"/>
      <c r="I51" s="342"/>
      <c r="J51" s="344" t="s">
        <v>686</v>
      </c>
      <c r="K51" s="344">
        <v>1</v>
      </c>
      <c r="L51" s="342">
        <f>M51</f>
        <v>164.62</v>
      </c>
      <c r="M51" s="345">
        <f>M52</f>
        <v>164.62</v>
      </c>
    </row>
    <row r="52" spans="3:13" ht="15.75" customHeight="1" x14ac:dyDescent="0.25">
      <c r="C52" s="346"/>
      <c r="D52" s="347"/>
      <c r="E52" s="348">
        <v>54</v>
      </c>
      <c r="F52" s="349" t="s">
        <v>399</v>
      </c>
      <c r="G52" s="350" t="s">
        <v>687</v>
      </c>
      <c r="H52" s="883" t="s">
        <v>688</v>
      </c>
      <c r="I52" s="884"/>
      <c r="J52" s="348" t="s">
        <v>686</v>
      </c>
      <c r="K52" s="348">
        <v>1</v>
      </c>
      <c r="L52" s="351">
        <v>164.62</v>
      </c>
      <c r="M52" s="352">
        <f>K52*L52</f>
        <v>164.62</v>
      </c>
    </row>
    <row r="53" spans="3:13" ht="15.75" x14ac:dyDescent="0.25">
      <c r="C53" s="121"/>
      <c r="D53" s="4"/>
      <c r="E53" s="4"/>
      <c r="F53" s="4"/>
      <c r="G53" s="125"/>
      <c r="H53" s="353" t="s">
        <v>262</v>
      </c>
      <c r="I53" s="354">
        <f>M15*M51</f>
        <v>42.142720000000004</v>
      </c>
      <c r="J53" s="877" t="s">
        <v>263</v>
      </c>
      <c r="K53" s="877"/>
      <c r="L53" s="878">
        <f>I53+M51</f>
        <v>206.76272</v>
      </c>
      <c r="M53" s="879"/>
    </row>
    <row r="54" spans="3:13" ht="15.75" x14ac:dyDescent="0.25">
      <c r="C54" s="121"/>
      <c r="D54" s="4"/>
      <c r="E54" s="4"/>
      <c r="F54" s="4"/>
      <c r="G54" s="125"/>
      <c r="H54" s="418"/>
      <c r="I54" s="418"/>
      <c r="J54" s="418"/>
      <c r="K54" s="418"/>
      <c r="L54" s="418"/>
      <c r="M54" s="311"/>
    </row>
    <row r="55" spans="3:13" ht="16.5" thickBot="1" x14ac:dyDescent="0.3">
      <c r="C55" s="103"/>
      <c r="D55" s="71" t="s">
        <v>233</v>
      </c>
      <c r="E55" s="71" t="s">
        <v>234</v>
      </c>
      <c r="F55" s="71" t="s">
        <v>235</v>
      </c>
      <c r="G55" s="86" t="s">
        <v>264</v>
      </c>
      <c r="H55" s="851" t="s">
        <v>237</v>
      </c>
      <c r="I55" s="851"/>
      <c r="J55" s="410" t="s">
        <v>238</v>
      </c>
      <c r="K55" s="410" t="s">
        <v>239</v>
      </c>
      <c r="L55" s="410" t="s">
        <v>240</v>
      </c>
      <c r="M55" s="74" t="s">
        <v>30</v>
      </c>
    </row>
    <row r="56" spans="3:13" ht="15.75" x14ac:dyDescent="0.25">
      <c r="C56" s="121" t="s">
        <v>241</v>
      </c>
      <c r="D56" s="4" t="s">
        <v>8</v>
      </c>
      <c r="E56" s="4" t="s">
        <v>573</v>
      </c>
      <c r="F56" s="4" t="s">
        <v>574</v>
      </c>
      <c r="G56" s="359" t="s">
        <v>471</v>
      </c>
      <c r="H56" s="846" t="s">
        <v>245</v>
      </c>
      <c r="I56" s="846"/>
      <c r="J56" s="418" t="s">
        <v>166</v>
      </c>
      <c r="K56" s="418">
        <v>1</v>
      </c>
      <c r="L56" s="418" t="s">
        <v>575</v>
      </c>
      <c r="M56" s="309">
        <f>M57</f>
        <v>45.15</v>
      </c>
    </row>
    <row r="57" spans="3:13" ht="15.75" x14ac:dyDescent="0.25">
      <c r="C57" s="121" t="s">
        <v>254</v>
      </c>
      <c r="D57" s="4"/>
      <c r="E57" s="4" t="s">
        <v>576</v>
      </c>
      <c r="F57" s="4" t="s">
        <v>577</v>
      </c>
      <c r="G57" s="125" t="str">
        <f>G56</f>
        <v>Locação da obra com Equipamento topografico</v>
      </c>
      <c r="H57" s="846" t="s">
        <v>256</v>
      </c>
      <c r="I57" s="846"/>
      <c r="J57" s="418" t="s">
        <v>166</v>
      </c>
      <c r="K57" s="418" t="s">
        <v>251</v>
      </c>
      <c r="L57" s="418">
        <v>45.15</v>
      </c>
      <c r="M57" s="309">
        <f>K57*L57</f>
        <v>45.15</v>
      </c>
    </row>
    <row r="58" spans="3:13" ht="15.75" x14ac:dyDescent="0.25">
      <c r="C58" s="121"/>
      <c r="D58" s="4"/>
      <c r="E58" s="4"/>
      <c r="F58" s="4"/>
      <c r="G58" s="125"/>
      <c r="H58" s="353" t="s">
        <v>262</v>
      </c>
      <c r="I58" s="375">
        <f>M15*M56</f>
        <v>11.558400000000001</v>
      </c>
      <c r="J58" s="877" t="s">
        <v>263</v>
      </c>
      <c r="K58" s="877"/>
      <c r="L58" s="878">
        <f>I58+M56</f>
        <v>56.708399999999997</v>
      </c>
      <c r="M58" s="879"/>
    </row>
    <row r="59" spans="3:13" ht="15.75" x14ac:dyDescent="0.25">
      <c r="C59" s="121"/>
      <c r="D59" s="4"/>
      <c r="E59" s="4"/>
      <c r="F59" s="4"/>
      <c r="G59" s="125"/>
      <c r="H59" s="418"/>
      <c r="I59" s="418"/>
      <c r="J59" s="418"/>
      <c r="K59" s="418"/>
      <c r="L59" s="418"/>
      <c r="M59" s="311"/>
    </row>
    <row r="60" spans="3:13" s="34" customFormat="1" ht="16.5" thickBot="1" x14ac:dyDescent="0.3">
      <c r="C60" s="70"/>
      <c r="D60" s="71" t="s">
        <v>233</v>
      </c>
      <c r="E60" s="71" t="s">
        <v>234</v>
      </c>
      <c r="F60" s="71" t="s">
        <v>235</v>
      </c>
      <c r="G60" s="86" t="s">
        <v>264</v>
      </c>
      <c r="H60" s="851" t="s">
        <v>237</v>
      </c>
      <c r="I60" s="851"/>
      <c r="J60" s="410" t="s">
        <v>238</v>
      </c>
      <c r="K60" s="410" t="s">
        <v>239</v>
      </c>
      <c r="L60" s="410" t="s">
        <v>240</v>
      </c>
      <c r="M60" s="74" t="s">
        <v>30</v>
      </c>
    </row>
    <row r="61" spans="3:13" s="34" customFormat="1" ht="25.5" x14ac:dyDescent="0.25">
      <c r="C61" s="368" t="s">
        <v>241</v>
      </c>
      <c r="D61" s="369" t="s">
        <v>10</v>
      </c>
      <c r="E61" s="370"/>
      <c r="F61" s="371" t="s">
        <v>243</v>
      </c>
      <c r="G61" s="372" t="s">
        <v>695</v>
      </c>
      <c r="H61" s="882" t="s">
        <v>245</v>
      </c>
      <c r="I61" s="882"/>
      <c r="J61" s="373" t="s">
        <v>6</v>
      </c>
      <c r="K61" s="373">
        <v>1</v>
      </c>
      <c r="L61" s="374">
        <f>M61</f>
        <v>0.34831999999999996</v>
      </c>
      <c r="M61" s="309">
        <f>SUM(M62:M63)</f>
        <v>0.34831999999999996</v>
      </c>
    </row>
    <row r="62" spans="3:13" s="34" customFormat="1" ht="31.5" x14ac:dyDescent="0.25">
      <c r="C62" s="121"/>
      <c r="D62" s="4"/>
      <c r="E62" s="4" t="s">
        <v>49</v>
      </c>
      <c r="F62" s="4" t="s">
        <v>243</v>
      </c>
      <c r="G62" s="125" t="s">
        <v>50</v>
      </c>
      <c r="H62" s="418" t="s">
        <v>248</v>
      </c>
      <c r="I62" s="418"/>
      <c r="J62" s="407" t="s">
        <v>27</v>
      </c>
      <c r="K62" s="407">
        <v>2E-3</v>
      </c>
      <c r="L62" s="407">
        <v>163.22999999999999</v>
      </c>
      <c r="M62" s="311">
        <f t="shared" ref="M62:M63" si="2">K62*L62</f>
        <v>0.32645999999999997</v>
      </c>
    </row>
    <row r="63" spans="3:13" s="34" customFormat="1" ht="15" customHeight="1" x14ac:dyDescent="0.25">
      <c r="C63" s="121"/>
      <c r="D63" s="4"/>
      <c r="E63" s="4" t="s">
        <v>18</v>
      </c>
      <c r="F63" s="4" t="s">
        <v>243</v>
      </c>
      <c r="G63" s="125" t="s">
        <v>17</v>
      </c>
      <c r="H63" s="418" t="s">
        <v>248</v>
      </c>
      <c r="I63" s="418"/>
      <c r="J63" s="407" t="s">
        <v>48</v>
      </c>
      <c r="K63" s="407">
        <v>2E-3</v>
      </c>
      <c r="L63" s="407">
        <v>10.93</v>
      </c>
      <c r="M63" s="409">
        <f t="shared" si="2"/>
        <v>2.1860000000000001E-2</v>
      </c>
    </row>
    <row r="64" spans="3:13" s="34" customFormat="1" ht="15.75" x14ac:dyDescent="0.25">
      <c r="C64" s="121"/>
      <c r="D64" s="4"/>
      <c r="E64" s="4"/>
      <c r="F64" s="4"/>
      <c r="G64" s="125"/>
      <c r="H64" s="353" t="s">
        <v>262</v>
      </c>
      <c r="I64" s="353">
        <f>M15*M61</f>
        <v>8.9169919999999986E-2</v>
      </c>
      <c r="J64" s="877" t="s">
        <v>263</v>
      </c>
      <c r="K64" s="877"/>
      <c r="L64" s="880">
        <f>I64+M61</f>
        <v>0.43748991999999998</v>
      </c>
      <c r="M64" s="881"/>
    </row>
    <row r="65" spans="3:13" s="34" customFormat="1" ht="15.75" x14ac:dyDescent="0.25">
      <c r="C65" s="121"/>
      <c r="D65" s="4"/>
      <c r="E65" s="4"/>
      <c r="F65" s="4"/>
      <c r="G65" s="125"/>
      <c r="H65" s="418"/>
      <c r="I65" s="418"/>
      <c r="J65" s="407"/>
      <c r="K65" s="407"/>
      <c r="L65" s="407"/>
      <c r="M65" s="409"/>
    </row>
    <row r="66" spans="3:13" s="34" customFormat="1" ht="15.75" x14ac:dyDescent="0.25">
      <c r="C66" s="121"/>
      <c r="D66" s="4"/>
      <c r="E66" s="4"/>
      <c r="F66" s="4"/>
      <c r="G66" s="125"/>
      <c r="H66" s="418"/>
      <c r="I66" s="418"/>
      <c r="J66" s="407"/>
      <c r="K66" s="407"/>
      <c r="L66" s="407"/>
      <c r="M66" s="409"/>
    </row>
    <row r="67" spans="3:13" s="34" customFormat="1" ht="15.75" x14ac:dyDescent="0.25">
      <c r="C67" s="121"/>
      <c r="D67" s="4"/>
      <c r="E67" s="4"/>
      <c r="F67" s="4"/>
      <c r="G67" s="125"/>
      <c r="H67" s="418"/>
      <c r="I67" s="418"/>
      <c r="J67" s="407"/>
      <c r="K67" s="407"/>
      <c r="L67" s="407"/>
      <c r="M67" s="409"/>
    </row>
    <row r="68" spans="3:13" s="34" customFormat="1" ht="15.75" x14ac:dyDescent="0.25">
      <c r="C68" s="121"/>
      <c r="D68" s="4"/>
      <c r="E68" s="4"/>
      <c r="F68" s="4"/>
      <c r="G68" s="125"/>
      <c r="H68" s="418"/>
      <c r="I68" s="418"/>
      <c r="J68" s="407"/>
      <c r="K68" s="407"/>
      <c r="L68" s="407"/>
      <c r="M68" s="409"/>
    </row>
    <row r="69" spans="3:13" s="34" customFormat="1" ht="15.75" x14ac:dyDescent="0.25">
      <c r="C69" s="121"/>
      <c r="D69" s="4"/>
      <c r="E69" s="4"/>
      <c r="F69" s="4"/>
      <c r="G69" s="125"/>
      <c r="H69" s="418"/>
      <c r="I69" s="418"/>
      <c r="J69" s="407"/>
      <c r="K69" s="407"/>
      <c r="L69" s="407"/>
      <c r="M69" s="409"/>
    </row>
    <row r="70" spans="3:13" s="34" customFormat="1" ht="15.75" x14ac:dyDescent="0.25">
      <c r="C70" s="121"/>
      <c r="D70" s="4"/>
      <c r="E70" s="4"/>
      <c r="F70" s="4"/>
      <c r="G70" s="125"/>
      <c r="H70" s="418"/>
      <c r="I70" s="418"/>
      <c r="J70" s="407"/>
      <c r="K70" s="407"/>
      <c r="L70" s="407"/>
      <c r="M70" s="409"/>
    </row>
    <row r="71" spans="3:13" s="34" customFormat="1" ht="15.75" x14ac:dyDescent="0.25">
      <c r="C71" s="121"/>
      <c r="D71" s="4"/>
      <c r="E71" s="4"/>
      <c r="F71" s="4"/>
      <c r="G71" s="125"/>
      <c r="H71" s="418"/>
      <c r="I71" s="418"/>
      <c r="J71" s="407"/>
      <c r="K71" s="407"/>
      <c r="L71" s="407"/>
      <c r="M71" s="409"/>
    </row>
    <row r="72" spans="3:13" s="34" customFormat="1" ht="15.75" x14ac:dyDescent="0.25">
      <c r="C72" s="121"/>
      <c r="D72" s="4"/>
      <c r="E72" s="4"/>
      <c r="F72" s="4"/>
      <c r="G72" s="125"/>
      <c r="H72" s="418"/>
      <c r="I72" s="418"/>
      <c r="J72" s="407"/>
      <c r="K72" s="407"/>
      <c r="L72" s="407"/>
      <c r="M72" s="409"/>
    </row>
    <row r="73" spans="3:13" ht="15.75" x14ac:dyDescent="0.25">
      <c r="C73" s="121"/>
      <c r="D73" s="4"/>
      <c r="E73" s="4"/>
      <c r="F73" s="4"/>
      <c r="G73" s="125"/>
      <c r="H73" s="418"/>
      <c r="I73" s="418"/>
      <c r="J73" s="407"/>
      <c r="K73" s="407"/>
      <c r="L73" s="407"/>
      <c r="M73" s="409"/>
    </row>
    <row r="74" spans="3:13" ht="15.75" x14ac:dyDescent="0.25">
      <c r="C74" s="121"/>
      <c r="D74" s="4"/>
      <c r="E74" s="4"/>
      <c r="F74" s="4"/>
      <c r="G74" s="125"/>
      <c r="H74" s="418"/>
      <c r="I74" s="418"/>
      <c r="J74" s="407"/>
      <c r="K74" s="407"/>
      <c r="L74" s="407"/>
      <c r="M74" s="409"/>
    </row>
    <row r="75" spans="3:13" ht="16.5" thickBot="1" x14ac:dyDescent="0.3">
      <c r="C75" s="103"/>
      <c r="D75" s="71" t="s">
        <v>233</v>
      </c>
      <c r="E75" s="71" t="s">
        <v>234</v>
      </c>
      <c r="F75" s="71" t="s">
        <v>235</v>
      </c>
      <c r="G75" s="86" t="s">
        <v>264</v>
      </c>
      <c r="H75" s="851" t="s">
        <v>237</v>
      </c>
      <c r="I75" s="851"/>
      <c r="J75" s="410" t="s">
        <v>238</v>
      </c>
      <c r="K75" s="410" t="s">
        <v>239</v>
      </c>
      <c r="L75" s="410" t="s">
        <v>240</v>
      </c>
      <c r="M75" s="74" t="s">
        <v>30</v>
      </c>
    </row>
    <row r="76" spans="3:13" ht="15.75" x14ac:dyDescent="0.25">
      <c r="C76" s="121" t="s">
        <v>241</v>
      </c>
      <c r="D76" s="4" t="s">
        <v>578</v>
      </c>
      <c r="E76" s="4">
        <v>4016007</v>
      </c>
      <c r="F76" s="4" t="s">
        <v>338</v>
      </c>
      <c r="G76" s="359" t="s">
        <v>474</v>
      </c>
      <c r="H76" s="846" t="s">
        <v>340</v>
      </c>
      <c r="I76" s="846"/>
      <c r="J76" s="418" t="s">
        <v>6</v>
      </c>
      <c r="K76" s="418">
        <v>1</v>
      </c>
      <c r="L76" s="124">
        <f>M76</f>
        <v>9.7297773685468414</v>
      </c>
      <c r="M76" s="309">
        <f>M97+M98</f>
        <v>9.7297773685468414</v>
      </c>
    </row>
    <row r="77" spans="3:13" ht="15.75" x14ac:dyDescent="0.25">
      <c r="C77" s="121"/>
      <c r="D77" s="4"/>
      <c r="E77" s="4"/>
      <c r="F77" s="4" t="s">
        <v>357</v>
      </c>
      <c r="G77" s="125"/>
      <c r="H77" s="418"/>
      <c r="I77" s="418"/>
      <c r="J77" s="418"/>
      <c r="K77" s="418"/>
      <c r="L77" s="124"/>
      <c r="M77" s="309"/>
    </row>
    <row r="78" spans="3:13" s="34" customFormat="1" ht="15.75" x14ac:dyDescent="0.25">
      <c r="C78" s="121"/>
      <c r="D78" s="4"/>
      <c r="E78" s="4" t="s">
        <v>702</v>
      </c>
      <c r="F78" s="4" t="s">
        <v>338</v>
      </c>
      <c r="G78" s="125" t="s">
        <v>696</v>
      </c>
      <c r="H78" s="418"/>
      <c r="I78" s="418"/>
      <c r="J78" s="418"/>
      <c r="K78" s="418">
        <v>2</v>
      </c>
      <c r="L78" s="124">
        <f>(0.62*233.8791)+(0.38*59.5719)</f>
        <v>167.64236400000001</v>
      </c>
      <c r="M78" s="309">
        <f>K78*L78</f>
        <v>335.28472800000003</v>
      </c>
    </row>
    <row r="79" spans="3:13" s="34" customFormat="1" ht="15.75" x14ac:dyDescent="0.25">
      <c r="C79" s="121"/>
      <c r="D79" s="4"/>
      <c r="E79" s="4" t="s">
        <v>703</v>
      </c>
      <c r="F79" s="4" t="s">
        <v>338</v>
      </c>
      <c r="G79" s="125" t="s">
        <v>697</v>
      </c>
      <c r="H79" s="418"/>
      <c r="I79" s="418"/>
      <c r="J79" s="418"/>
      <c r="K79" s="418">
        <v>1</v>
      </c>
      <c r="L79" s="124">
        <f>(0.69*3.0386)+(0.31*2.0565)</f>
        <v>2.7341489999999999</v>
      </c>
      <c r="M79" s="309">
        <f t="shared" ref="M79:M83" si="3">K79*L79</f>
        <v>2.7341489999999999</v>
      </c>
    </row>
    <row r="80" spans="3:13" s="34" customFormat="1" ht="15.75" x14ac:dyDescent="0.25">
      <c r="C80" s="121"/>
      <c r="D80" s="4"/>
      <c r="E80" s="4" t="s">
        <v>704</v>
      </c>
      <c r="F80" s="4" t="s">
        <v>338</v>
      </c>
      <c r="G80" s="125" t="s">
        <v>698</v>
      </c>
      <c r="H80" s="418"/>
      <c r="I80" s="418"/>
      <c r="J80" s="418"/>
      <c r="K80" s="418">
        <v>1</v>
      </c>
      <c r="L80" s="124">
        <f>(0.99*185.4443)+(0.01*77.5969)</f>
        <v>184.365826</v>
      </c>
      <c r="M80" s="309">
        <f t="shared" si="3"/>
        <v>184.365826</v>
      </c>
    </row>
    <row r="81" spans="3:13" ht="15.75" x14ac:dyDescent="0.25">
      <c r="C81" s="121"/>
      <c r="D81" s="4"/>
      <c r="E81" s="4" t="s">
        <v>705</v>
      </c>
      <c r="F81" s="4" t="s">
        <v>338</v>
      </c>
      <c r="G81" s="125" t="s">
        <v>699</v>
      </c>
      <c r="H81" s="418"/>
      <c r="I81" s="418"/>
      <c r="J81" s="418"/>
      <c r="K81" s="418">
        <v>1</v>
      </c>
      <c r="L81" s="124">
        <f>(0.96*156.5811)+(0.04*73.5976)</f>
        <v>153.26175999999998</v>
      </c>
      <c r="M81" s="309">
        <f t="shared" si="3"/>
        <v>153.26175999999998</v>
      </c>
    </row>
    <row r="82" spans="3:13" ht="15.75" x14ac:dyDescent="0.25">
      <c r="C82" s="121"/>
      <c r="D82" s="4"/>
      <c r="E82" s="4" t="s">
        <v>706</v>
      </c>
      <c r="F82" s="4" t="s">
        <v>338</v>
      </c>
      <c r="G82" s="125" t="s">
        <v>700</v>
      </c>
      <c r="H82" s="418"/>
      <c r="I82" s="418"/>
      <c r="J82" s="418"/>
      <c r="K82" s="418">
        <v>1</v>
      </c>
      <c r="L82" s="124">
        <f>(1*154.3134)+(0*68.0635)</f>
        <v>154.3134</v>
      </c>
      <c r="M82" s="309">
        <f t="shared" si="3"/>
        <v>154.3134</v>
      </c>
    </row>
    <row r="83" spans="3:13" ht="15.75" x14ac:dyDescent="0.25">
      <c r="C83" s="121"/>
      <c r="D83" s="4"/>
      <c r="E83" s="4" t="s">
        <v>707</v>
      </c>
      <c r="F83" s="4" t="s">
        <v>338</v>
      </c>
      <c r="G83" s="125" t="s">
        <v>701</v>
      </c>
      <c r="H83" s="418"/>
      <c r="I83" s="418"/>
      <c r="J83" s="418"/>
      <c r="K83" s="418">
        <v>1</v>
      </c>
      <c r="L83" s="124">
        <f>(0.69*100.3878)+(0.31*36.4827)</f>
        <v>80.577218999999985</v>
      </c>
      <c r="M83" s="309">
        <f t="shared" si="3"/>
        <v>80.577218999999985</v>
      </c>
    </row>
    <row r="84" spans="3:13" ht="15.75" x14ac:dyDescent="0.25">
      <c r="C84" s="121"/>
      <c r="D84" s="4"/>
      <c r="E84" s="4"/>
      <c r="F84" s="4"/>
      <c r="G84" s="125"/>
      <c r="H84" s="418"/>
      <c r="I84" s="418"/>
      <c r="J84" s="418"/>
      <c r="K84" s="852" t="s">
        <v>364</v>
      </c>
      <c r="L84" s="852"/>
      <c r="M84" s="309">
        <f>SUM(M78:M83)</f>
        <v>910.53708200000005</v>
      </c>
    </row>
    <row r="85" spans="3:13" ht="15.75" x14ac:dyDescent="0.25">
      <c r="C85" s="121"/>
      <c r="D85" s="4"/>
      <c r="E85" s="4"/>
      <c r="F85" s="4" t="s">
        <v>365</v>
      </c>
      <c r="G85" s="125"/>
      <c r="H85" s="418"/>
      <c r="I85" s="418"/>
      <c r="J85" s="418"/>
      <c r="K85" s="418"/>
      <c r="L85" s="124"/>
      <c r="M85" s="309"/>
    </row>
    <row r="86" spans="3:13" ht="15.75" x14ac:dyDescent="0.25">
      <c r="C86" s="121"/>
      <c r="D86" s="4"/>
      <c r="E86" s="4" t="s">
        <v>712</v>
      </c>
      <c r="F86" s="4" t="s">
        <v>338</v>
      </c>
      <c r="G86" s="125" t="s">
        <v>369</v>
      </c>
      <c r="H86" s="846"/>
      <c r="I86" s="846"/>
      <c r="J86" s="126" t="s">
        <v>48</v>
      </c>
      <c r="K86" s="127">
        <v>1</v>
      </c>
      <c r="L86" s="418">
        <v>16.996099999999998</v>
      </c>
      <c r="M86" s="309">
        <f t="shared" ref="M86" si="4">K86*L86</f>
        <v>16.996099999999998</v>
      </c>
    </row>
    <row r="87" spans="3:13" ht="15.75" x14ac:dyDescent="0.25">
      <c r="C87" s="121"/>
      <c r="D87" s="4"/>
      <c r="E87" s="4"/>
      <c r="F87" s="4"/>
      <c r="G87" s="125"/>
      <c r="H87" s="418"/>
      <c r="I87" s="418"/>
      <c r="J87" s="126"/>
      <c r="K87" s="868" t="s">
        <v>370</v>
      </c>
      <c r="L87" s="868"/>
      <c r="M87" s="309">
        <f>SUM(M86:M86)</f>
        <v>16.996099999999998</v>
      </c>
    </row>
    <row r="88" spans="3:13" ht="15.75" x14ac:dyDescent="0.25">
      <c r="C88" s="121"/>
      <c r="D88" s="4"/>
      <c r="E88" s="4"/>
      <c r="F88" s="4"/>
      <c r="G88" s="125"/>
      <c r="H88" s="418"/>
      <c r="I88" s="418"/>
      <c r="J88" s="126"/>
      <c r="K88" s="127" t="s">
        <v>372</v>
      </c>
      <c r="L88" s="128"/>
      <c r="M88" s="309">
        <f>M84+M87</f>
        <v>927.53318200000001</v>
      </c>
    </row>
    <row r="89" spans="3:13" ht="15.75" x14ac:dyDescent="0.25">
      <c r="C89" s="121"/>
      <c r="D89" s="4"/>
      <c r="E89" s="4"/>
      <c r="F89" s="4"/>
      <c r="G89" s="125"/>
      <c r="H89" s="418"/>
      <c r="I89" s="418"/>
      <c r="J89" s="126"/>
      <c r="K89" s="127" t="s">
        <v>373</v>
      </c>
      <c r="L89" s="128"/>
      <c r="M89" s="309">
        <f>M88/224.27</f>
        <v>4.1357880322825169</v>
      </c>
    </row>
    <row r="90" spans="3:13" ht="15.75" x14ac:dyDescent="0.25">
      <c r="C90" s="121"/>
      <c r="D90" s="4"/>
      <c r="E90" s="4"/>
      <c r="F90" s="4"/>
      <c r="G90" s="125"/>
      <c r="H90" s="418"/>
      <c r="I90" s="418"/>
      <c r="J90" s="126"/>
      <c r="K90" s="127" t="s">
        <v>711</v>
      </c>
      <c r="L90" s="128"/>
      <c r="M90" s="309">
        <v>0.1101</v>
      </c>
    </row>
    <row r="91" spans="3:13" ht="15.75" x14ac:dyDescent="0.25">
      <c r="C91" s="121"/>
      <c r="D91" s="4"/>
      <c r="E91" s="4"/>
      <c r="F91" s="4" t="s">
        <v>378</v>
      </c>
      <c r="G91" s="125"/>
      <c r="H91" s="418"/>
      <c r="I91" s="418"/>
      <c r="J91" s="126"/>
      <c r="K91" s="127"/>
      <c r="L91" s="128"/>
      <c r="M91" s="309"/>
    </row>
    <row r="92" spans="3:13" ht="15.75" x14ac:dyDescent="0.25">
      <c r="C92" s="121"/>
      <c r="D92" s="4"/>
      <c r="E92" s="4">
        <v>4016096</v>
      </c>
      <c r="F92" s="4" t="s">
        <v>338</v>
      </c>
      <c r="G92" s="125" t="s">
        <v>709</v>
      </c>
      <c r="H92" s="418"/>
      <c r="I92" s="418"/>
      <c r="J92" s="126"/>
      <c r="K92" s="127">
        <v>1.1000000000000001</v>
      </c>
      <c r="L92" s="124">
        <v>0.97</v>
      </c>
      <c r="M92" s="309">
        <f t="shared" ref="M92" si="5">K92*L92</f>
        <v>1.0669999999999999</v>
      </c>
    </row>
    <row r="93" spans="3:13" ht="15.75" x14ac:dyDescent="0.25">
      <c r="C93" s="121"/>
      <c r="D93" s="4"/>
      <c r="E93" s="4"/>
      <c r="F93" s="4"/>
      <c r="G93" s="125"/>
      <c r="H93" s="418"/>
      <c r="I93" s="418"/>
      <c r="J93" s="126"/>
      <c r="K93" s="127" t="s">
        <v>383</v>
      </c>
      <c r="L93" s="128"/>
      <c r="M93" s="309">
        <f>SUM(M92:M92)</f>
        <v>1.0669999999999999</v>
      </c>
    </row>
    <row r="94" spans="3:13" s="34" customFormat="1" ht="15.75" x14ac:dyDescent="0.25">
      <c r="C94" s="121"/>
      <c r="D94" s="4"/>
      <c r="E94" s="4"/>
      <c r="F94" s="4" t="s">
        <v>708</v>
      </c>
      <c r="G94" s="125"/>
      <c r="H94" s="418"/>
      <c r="I94" s="418"/>
      <c r="J94" s="126"/>
      <c r="K94" s="127"/>
      <c r="L94" s="128"/>
      <c r="M94" s="309"/>
    </row>
    <row r="95" spans="3:13" s="34" customFormat="1" ht="15.75" x14ac:dyDescent="0.25">
      <c r="C95" s="121"/>
      <c r="D95" s="4"/>
      <c r="E95" s="4">
        <v>4016096</v>
      </c>
      <c r="F95" s="4" t="s">
        <v>338</v>
      </c>
      <c r="G95" s="125" t="s">
        <v>710</v>
      </c>
      <c r="H95" s="418"/>
      <c r="I95" s="418"/>
      <c r="J95" s="126"/>
      <c r="K95" s="127">
        <v>2.0625</v>
      </c>
      <c r="L95" s="124">
        <v>1.18</v>
      </c>
      <c r="M95" s="309">
        <f t="shared" ref="M95" si="6">K95*L95</f>
        <v>2.4337499999999999</v>
      </c>
    </row>
    <row r="96" spans="3:13" s="34" customFormat="1" ht="15.75" x14ac:dyDescent="0.25">
      <c r="C96" s="121"/>
      <c r="D96" s="4"/>
      <c r="E96" s="4"/>
      <c r="F96" s="4"/>
      <c r="G96" s="125"/>
      <c r="H96" s="418"/>
      <c r="I96" s="418"/>
      <c r="J96" s="126"/>
      <c r="K96" s="127" t="s">
        <v>383</v>
      </c>
      <c r="L96" s="128"/>
      <c r="M96" s="309">
        <f>SUM(M95:M95)</f>
        <v>2.4337499999999999</v>
      </c>
    </row>
    <row r="97" spans="3:13" ht="15.75" x14ac:dyDescent="0.25">
      <c r="C97" s="121"/>
      <c r="D97" s="4"/>
      <c r="E97" s="4"/>
      <c r="F97" s="4"/>
      <c r="G97" s="125"/>
      <c r="H97" s="418"/>
      <c r="I97" s="418"/>
      <c r="J97" s="126"/>
      <c r="K97" s="127" t="s">
        <v>384</v>
      </c>
      <c r="L97" s="128"/>
      <c r="M97" s="309">
        <f>M89+M90+M93+M96</f>
        <v>7.746638032282517</v>
      </c>
    </row>
    <row r="98" spans="3:13" ht="15.75" x14ac:dyDescent="0.25">
      <c r="C98" s="121"/>
      <c r="D98" s="4"/>
      <c r="E98" s="4"/>
      <c r="F98" s="4"/>
      <c r="G98" s="125"/>
      <c r="H98" s="418"/>
      <c r="I98" s="418"/>
      <c r="J98" s="126"/>
      <c r="K98" s="127" t="s">
        <v>226</v>
      </c>
      <c r="L98" s="128"/>
      <c r="M98" s="309">
        <f>0.256*M97</f>
        <v>1.9831393362643244</v>
      </c>
    </row>
    <row r="99" spans="3:13" ht="15.75" x14ac:dyDescent="0.25">
      <c r="C99" s="121"/>
      <c r="D99" s="4"/>
      <c r="E99" s="4"/>
      <c r="F99" s="4"/>
      <c r="G99" s="125"/>
      <c r="H99" s="418"/>
      <c r="I99" s="418"/>
      <c r="J99" s="847" t="s">
        <v>263</v>
      </c>
      <c r="K99" s="847"/>
      <c r="L99" s="848">
        <f>M97+M98</f>
        <v>9.7297773685468414</v>
      </c>
      <c r="M99" s="872"/>
    </row>
    <row r="100" spans="3:13" s="34" customFormat="1" ht="15.75" x14ac:dyDescent="0.25">
      <c r="C100" s="121"/>
      <c r="D100" s="4"/>
      <c r="E100" s="4"/>
      <c r="F100" s="4"/>
      <c r="G100" s="125"/>
      <c r="H100" s="418"/>
      <c r="I100" s="418"/>
      <c r="J100" s="407"/>
      <c r="K100" s="407"/>
      <c r="L100" s="408"/>
      <c r="M100" s="416"/>
    </row>
    <row r="101" spans="3:13" s="34" customFormat="1" ht="16.5" thickBot="1" x14ac:dyDescent="0.3">
      <c r="C101" s="103"/>
      <c r="D101" s="71" t="s">
        <v>233</v>
      </c>
      <c r="E101" s="71" t="s">
        <v>234</v>
      </c>
      <c r="F101" s="71" t="s">
        <v>235</v>
      </c>
      <c r="G101" s="86" t="s">
        <v>264</v>
      </c>
      <c r="H101" s="851" t="s">
        <v>237</v>
      </c>
      <c r="I101" s="851"/>
      <c r="J101" s="410" t="s">
        <v>238</v>
      </c>
      <c r="K101" s="410" t="s">
        <v>239</v>
      </c>
      <c r="L101" s="410" t="s">
        <v>240</v>
      </c>
      <c r="M101" s="74" t="s">
        <v>30</v>
      </c>
    </row>
    <row r="102" spans="3:13" s="34" customFormat="1" ht="33.75" customHeight="1" x14ac:dyDescent="0.25">
      <c r="C102" s="121" t="s">
        <v>241</v>
      </c>
      <c r="D102" s="4" t="s">
        <v>578</v>
      </c>
      <c r="E102" s="4">
        <v>4016007</v>
      </c>
      <c r="F102" s="4" t="s">
        <v>338</v>
      </c>
      <c r="G102" s="376" t="s">
        <v>476</v>
      </c>
      <c r="H102" s="846" t="s">
        <v>340</v>
      </c>
      <c r="I102" s="846"/>
      <c r="J102" s="418" t="s">
        <v>6</v>
      </c>
      <c r="K102" s="418">
        <v>1</v>
      </c>
      <c r="L102" s="124">
        <f>M102</f>
        <v>10.711231432661718</v>
      </c>
      <c r="M102" s="309">
        <f>M123+M124</f>
        <v>10.711231432661718</v>
      </c>
    </row>
    <row r="103" spans="3:13" s="34" customFormat="1" ht="15.75" x14ac:dyDescent="0.25">
      <c r="C103" s="121"/>
      <c r="D103" s="4"/>
      <c r="E103" s="4"/>
      <c r="F103" s="4" t="s">
        <v>357</v>
      </c>
      <c r="G103" s="125"/>
      <c r="H103" s="418"/>
      <c r="I103" s="418"/>
      <c r="J103" s="418"/>
      <c r="K103" s="418"/>
      <c r="L103" s="124"/>
      <c r="M103" s="309"/>
    </row>
    <row r="104" spans="3:13" s="34" customFormat="1" ht="15.75" x14ac:dyDescent="0.25">
      <c r="C104" s="121"/>
      <c r="D104" s="4"/>
      <c r="E104" s="4" t="s">
        <v>702</v>
      </c>
      <c r="F104" s="4" t="s">
        <v>338</v>
      </c>
      <c r="G104" s="125" t="s">
        <v>696</v>
      </c>
      <c r="H104" s="418"/>
      <c r="I104" s="418"/>
      <c r="J104" s="418"/>
      <c r="K104" s="418">
        <v>1</v>
      </c>
      <c r="L104" s="124">
        <f>(0.83*233.8791)+(0.17*59.5719)</f>
        <v>204.24687599999999</v>
      </c>
      <c r="M104" s="309">
        <f>K104*L104</f>
        <v>204.24687599999999</v>
      </c>
    </row>
    <row r="105" spans="3:13" s="34" customFormat="1" ht="15.75" x14ac:dyDescent="0.25">
      <c r="C105" s="121"/>
      <c r="D105" s="4"/>
      <c r="E105" s="4" t="s">
        <v>703</v>
      </c>
      <c r="F105" s="4" t="s">
        <v>338</v>
      </c>
      <c r="G105" s="125" t="s">
        <v>697</v>
      </c>
      <c r="H105" s="418"/>
      <c r="I105" s="418"/>
      <c r="J105" s="418"/>
      <c r="K105" s="418">
        <v>1</v>
      </c>
      <c r="L105" s="124">
        <f>(0.62*3.0386)+(0.38*2.0565)</f>
        <v>2.6654020000000003</v>
      </c>
      <c r="M105" s="309">
        <f t="shared" ref="M105:M109" si="7">K105*L105</f>
        <v>2.6654020000000003</v>
      </c>
    </row>
    <row r="106" spans="3:13" s="34" customFormat="1" ht="15.75" x14ac:dyDescent="0.25">
      <c r="C106" s="121"/>
      <c r="D106" s="4"/>
      <c r="E106" s="4" t="s">
        <v>704</v>
      </c>
      <c r="F106" s="4" t="s">
        <v>338</v>
      </c>
      <c r="G106" s="125" t="s">
        <v>698</v>
      </c>
      <c r="H106" s="418"/>
      <c r="I106" s="418"/>
      <c r="J106" s="418"/>
      <c r="K106" s="418">
        <v>1</v>
      </c>
      <c r="L106" s="124">
        <f>(1*185.4443)+(0*77.5969)</f>
        <v>185.4443</v>
      </c>
      <c r="M106" s="309">
        <f t="shared" si="7"/>
        <v>185.4443</v>
      </c>
    </row>
    <row r="107" spans="3:13" s="34" customFormat="1" ht="15.75" x14ac:dyDescent="0.25">
      <c r="C107" s="121"/>
      <c r="D107" s="4"/>
      <c r="E107" s="4" t="s">
        <v>705</v>
      </c>
      <c r="F107" s="4" t="s">
        <v>338</v>
      </c>
      <c r="G107" s="125" t="s">
        <v>699</v>
      </c>
      <c r="H107" s="418"/>
      <c r="I107" s="418"/>
      <c r="J107" s="418"/>
      <c r="K107" s="418">
        <v>1</v>
      </c>
      <c r="L107" s="124">
        <f>(0.65*156.5811)+(0.35*73.5976)</f>
        <v>127.53687499999999</v>
      </c>
      <c r="M107" s="309">
        <f t="shared" si="7"/>
        <v>127.53687499999999</v>
      </c>
    </row>
    <row r="108" spans="3:13" s="34" customFormat="1" ht="15.75" x14ac:dyDescent="0.25">
      <c r="C108" s="121"/>
      <c r="D108" s="4"/>
      <c r="E108" s="4" t="s">
        <v>706</v>
      </c>
      <c r="F108" s="4" t="s">
        <v>338</v>
      </c>
      <c r="G108" s="125" t="s">
        <v>700</v>
      </c>
      <c r="H108" s="418"/>
      <c r="I108" s="418"/>
      <c r="J108" s="418"/>
      <c r="K108" s="418">
        <v>1</v>
      </c>
      <c r="L108" s="124">
        <f>(0.67*154.3134)+(0.33*68.0635)</f>
        <v>125.85093300000001</v>
      </c>
      <c r="M108" s="309">
        <f t="shared" si="7"/>
        <v>125.85093300000001</v>
      </c>
    </row>
    <row r="109" spans="3:13" s="34" customFormat="1" ht="15.75" x14ac:dyDescent="0.25">
      <c r="C109" s="121"/>
      <c r="D109" s="4"/>
      <c r="E109" s="4" t="s">
        <v>707</v>
      </c>
      <c r="F109" s="4" t="s">
        <v>338</v>
      </c>
      <c r="G109" s="125" t="s">
        <v>701</v>
      </c>
      <c r="H109" s="418"/>
      <c r="I109" s="418"/>
      <c r="J109" s="418"/>
      <c r="K109" s="418">
        <v>1</v>
      </c>
      <c r="L109" s="124">
        <f>(0.62*100.3878)+(0.38*36.4827)</f>
        <v>76.103861999999992</v>
      </c>
      <c r="M109" s="309">
        <f t="shared" si="7"/>
        <v>76.103861999999992</v>
      </c>
    </row>
    <row r="110" spans="3:13" s="34" customFormat="1" ht="15.75" x14ac:dyDescent="0.25">
      <c r="C110" s="121"/>
      <c r="D110" s="4"/>
      <c r="E110" s="4"/>
      <c r="F110" s="4"/>
      <c r="G110" s="125"/>
      <c r="H110" s="418"/>
      <c r="I110" s="418"/>
      <c r="J110" s="418"/>
      <c r="K110" s="852" t="s">
        <v>364</v>
      </c>
      <c r="L110" s="852"/>
      <c r="M110" s="309">
        <f>SUM(M104:M109)</f>
        <v>721.84824800000001</v>
      </c>
    </row>
    <row r="111" spans="3:13" s="34" customFormat="1" ht="15.75" x14ac:dyDescent="0.25">
      <c r="C111" s="121"/>
      <c r="D111" s="4"/>
      <c r="E111" s="4"/>
      <c r="F111" s="4" t="s">
        <v>365</v>
      </c>
      <c r="G111" s="125"/>
      <c r="H111" s="418"/>
      <c r="I111" s="418"/>
      <c r="J111" s="418"/>
      <c r="K111" s="418"/>
      <c r="L111" s="124"/>
      <c r="M111" s="309"/>
    </row>
    <row r="112" spans="3:13" s="34" customFormat="1" ht="15.75" x14ac:dyDescent="0.25">
      <c r="C112" s="121"/>
      <c r="D112" s="4"/>
      <c r="E112" s="4" t="s">
        <v>712</v>
      </c>
      <c r="F112" s="4" t="s">
        <v>338</v>
      </c>
      <c r="G112" s="125" t="s">
        <v>369</v>
      </c>
      <c r="H112" s="846"/>
      <c r="I112" s="846"/>
      <c r="J112" s="126" t="s">
        <v>48</v>
      </c>
      <c r="K112" s="127">
        <v>1</v>
      </c>
      <c r="L112" s="418">
        <v>16.996099999999998</v>
      </c>
      <c r="M112" s="309">
        <f t="shared" ref="M112" si="8">K112*L112</f>
        <v>16.996099999999998</v>
      </c>
    </row>
    <row r="113" spans="3:13" s="34" customFormat="1" ht="15.75" x14ac:dyDescent="0.25">
      <c r="C113" s="121"/>
      <c r="D113" s="4"/>
      <c r="E113" s="4"/>
      <c r="F113" s="4"/>
      <c r="G113" s="125"/>
      <c r="H113" s="418"/>
      <c r="I113" s="418"/>
      <c r="J113" s="126"/>
      <c r="K113" s="868" t="s">
        <v>370</v>
      </c>
      <c r="L113" s="868"/>
      <c r="M113" s="309">
        <f>SUM(M112:M112)</f>
        <v>16.996099999999998</v>
      </c>
    </row>
    <row r="114" spans="3:13" s="34" customFormat="1" ht="15.75" x14ac:dyDescent="0.25">
      <c r="C114" s="121"/>
      <c r="D114" s="4"/>
      <c r="E114" s="4"/>
      <c r="F114" s="4"/>
      <c r="G114" s="125"/>
      <c r="H114" s="418"/>
      <c r="I114" s="418"/>
      <c r="J114" s="126"/>
      <c r="K114" s="127" t="s">
        <v>372</v>
      </c>
      <c r="L114" s="128"/>
      <c r="M114" s="309">
        <f>M110+M113</f>
        <v>738.84434799999997</v>
      </c>
    </row>
    <row r="115" spans="3:13" s="34" customFormat="1" ht="15.75" x14ac:dyDescent="0.25">
      <c r="C115" s="121"/>
      <c r="D115" s="4"/>
      <c r="E115" s="4"/>
      <c r="F115" s="4"/>
      <c r="G115" s="125"/>
      <c r="H115" s="418"/>
      <c r="I115" s="418"/>
      <c r="J115" s="126"/>
      <c r="K115" s="127" t="s">
        <v>373</v>
      </c>
      <c r="L115" s="128"/>
      <c r="M115" s="309">
        <f>M114/150.88</f>
        <v>4.8969005037115592</v>
      </c>
    </row>
    <row r="116" spans="3:13" s="34" customFormat="1" ht="15.75" x14ac:dyDescent="0.25">
      <c r="C116" s="121"/>
      <c r="D116" s="4"/>
      <c r="E116" s="4"/>
      <c r="F116" s="4"/>
      <c r="G116" s="125"/>
      <c r="H116" s="418"/>
      <c r="I116" s="418"/>
      <c r="J116" s="126"/>
      <c r="K116" s="127" t="s">
        <v>711</v>
      </c>
      <c r="L116" s="128"/>
      <c r="M116" s="309">
        <v>0.13039999999999999</v>
      </c>
    </row>
    <row r="117" spans="3:13" s="34" customFormat="1" ht="15.75" x14ac:dyDescent="0.25">
      <c r="C117" s="121"/>
      <c r="D117" s="4"/>
      <c r="E117" s="4"/>
      <c r="F117" s="4" t="s">
        <v>378</v>
      </c>
      <c r="G117" s="125"/>
      <c r="H117" s="418"/>
      <c r="I117" s="418"/>
      <c r="J117" s="126"/>
      <c r="K117" s="127"/>
      <c r="L117" s="128"/>
      <c r="M117" s="309"/>
    </row>
    <row r="118" spans="3:13" s="34" customFormat="1" ht="15.75" x14ac:dyDescent="0.25">
      <c r="C118" s="121"/>
      <c r="D118" s="4"/>
      <c r="E118" s="4">
        <v>4016096</v>
      </c>
      <c r="F118" s="4" t="s">
        <v>338</v>
      </c>
      <c r="G118" s="125" t="s">
        <v>709</v>
      </c>
      <c r="H118" s="418"/>
      <c r="I118" s="418"/>
      <c r="J118" s="126"/>
      <c r="K118" s="127">
        <v>1.1000000000000001</v>
      </c>
      <c r="L118" s="124">
        <v>0.97</v>
      </c>
      <c r="M118" s="309">
        <f t="shared" ref="M118" si="9">K118*L118</f>
        <v>1.0669999999999999</v>
      </c>
    </row>
    <row r="119" spans="3:13" s="34" customFormat="1" ht="15.75" x14ac:dyDescent="0.25">
      <c r="C119" s="121"/>
      <c r="D119" s="4"/>
      <c r="E119" s="4"/>
      <c r="F119" s="4"/>
      <c r="G119" s="125"/>
      <c r="H119" s="418"/>
      <c r="I119" s="418"/>
      <c r="J119" s="126"/>
      <c r="K119" s="127" t="s">
        <v>383</v>
      </c>
      <c r="L119" s="128"/>
      <c r="M119" s="309">
        <f>SUM(M118:M118)</f>
        <v>1.0669999999999999</v>
      </c>
    </row>
    <row r="120" spans="3:13" s="34" customFormat="1" ht="15.75" x14ac:dyDescent="0.25">
      <c r="C120" s="121"/>
      <c r="D120" s="4"/>
      <c r="E120" s="4"/>
      <c r="F120" s="4" t="s">
        <v>708</v>
      </c>
      <c r="G120" s="125"/>
      <c r="H120" s="418"/>
      <c r="I120" s="418"/>
      <c r="J120" s="126"/>
      <c r="K120" s="127"/>
      <c r="L120" s="128"/>
      <c r="M120" s="309"/>
    </row>
    <row r="121" spans="3:13" s="34" customFormat="1" ht="15.75" x14ac:dyDescent="0.25">
      <c r="C121" s="121"/>
      <c r="D121" s="4"/>
      <c r="E121" s="4">
        <v>4016096</v>
      </c>
      <c r="F121" s="4" t="s">
        <v>338</v>
      </c>
      <c r="G121" s="125" t="s">
        <v>710</v>
      </c>
      <c r="H121" s="418"/>
      <c r="I121" s="418"/>
      <c r="J121" s="126"/>
      <c r="K121" s="127">
        <v>2.0625</v>
      </c>
      <c r="L121" s="124">
        <v>1.18</v>
      </c>
      <c r="M121" s="309">
        <f t="shared" ref="M121" si="10">K121*L121</f>
        <v>2.4337499999999999</v>
      </c>
    </row>
    <row r="122" spans="3:13" s="34" customFormat="1" ht="15.75" x14ac:dyDescent="0.25">
      <c r="C122" s="121"/>
      <c r="D122" s="4"/>
      <c r="E122" s="4"/>
      <c r="F122" s="4"/>
      <c r="G122" s="125"/>
      <c r="H122" s="418"/>
      <c r="I122" s="418"/>
      <c r="J122" s="126"/>
      <c r="K122" s="127" t="s">
        <v>383</v>
      </c>
      <c r="L122" s="128"/>
      <c r="M122" s="309">
        <f>SUM(M121:M121)</f>
        <v>2.4337499999999999</v>
      </c>
    </row>
    <row r="123" spans="3:13" s="34" customFormat="1" ht="15.75" x14ac:dyDescent="0.25">
      <c r="C123" s="121"/>
      <c r="D123" s="4"/>
      <c r="E123" s="4"/>
      <c r="F123" s="4"/>
      <c r="G123" s="125"/>
      <c r="H123" s="418"/>
      <c r="I123" s="418"/>
      <c r="J123" s="126"/>
      <c r="K123" s="127" t="s">
        <v>384</v>
      </c>
      <c r="L123" s="128"/>
      <c r="M123" s="309">
        <f>M115+M116+M119+M122</f>
        <v>8.5280505037115582</v>
      </c>
    </row>
    <row r="124" spans="3:13" s="34" customFormat="1" ht="15.75" x14ac:dyDescent="0.25">
      <c r="C124" s="121"/>
      <c r="D124" s="4"/>
      <c r="E124" s="4"/>
      <c r="F124" s="4"/>
      <c r="G124" s="125"/>
      <c r="H124" s="418"/>
      <c r="I124" s="418"/>
      <c r="J124" s="126"/>
      <c r="K124" s="127" t="s">
        <v>226</v>
      </c>
      <c r="L124" s="128"/>
      <c r="M124" s="309">
        <f>0.256*M123</f>
        <v>2.1831809289501591</v>
      </c>
    </row>
    <row r="125" spans="3:13" s="34" customFormat="1" ht="15.75" x14ac:dyDescent="0.25">
      <c r="C125" s="121"/>
      <c r="D125" s="4"/>
      <c r="E125" s="4"/>
      <c r="F125" s="4"/>
      <c r="G125" s="125"/>
      <c r="H125" s="418"/>
      <c r="I125" s="418"/>
      <c r="J125" s="847" t="s">
        <v>263</v>
      </c>
      <c r="K125" s="847"/>
      <c r="L125" s="848">
        <f>M123+M124</f>
        <v>10.711231432661718</v>
      </c>
      <c r="M125" s="872"/>
    </row>
    <row r="126" spans="3:13" s="34" customFormat="1" ht="15.75" x14ac:dyDescent="0.25">
      <c r="C126" s="121"/>
      <c r="D126" s="4"/>
      <c r="E126" s="4"/>
      <c r="F126" s="4"/>
      <c r="G126" s="125"/>
      <c r="H126" s="418"/>
      <c r="I126" s="418"/>
      <c r="J126" s="407"/>
      <c r="K126" s="407"/>
      <c r="L126" s="408"/>
      <c r="M126" s="416"/>
    </row>
    <row r="127" spans="3:13" s="34" customFormat="1" ht="16.5" thickBot="1" x14ac:dyDescent="0.3">
      <c r="C127" s="103"/>
      <c r="D127" s="71" t="s">
        <v>233</v>
      </c>
      <c r="E127" s="71" t="s">
        <v>234</v>
      </c>
      <c r="F127" s="71" t="s">
        <v>235</v>
      </c>
      <c r="G127" s="86" t="s">
        <v>264</v>
      </c>
      <c r="H127" s="851" t="s">
        <v>237</v>
      </c>
      <c r="I127" s="851"/>
      <c r="J127" s="410" t="s">
        <v>238</v>
      </c>
      <c r="K127" s="410" t="s">
        <v>239</v>
      </c>
      <c r="L127" s="410" t="s">
        <v>240</v>
      </c>
      <c r="M127" s="74" t="s">
        <v>30</v>
      </c>
    </row>
    <row r="128" spans="3:13" s="34" customFormat="1" ht="22.5" customHeight="1" x14ac:dyDescent="0.25">
      <c r="C128" s="121" t="s">
        <v>241</v>
      </c>
      <c r="D128" s="4" t="s">
        <v>581</v>
      </c>
      <c r="E128" s="4">
        <v>4011209</v>
      </c>
      <c r="F128" s="4" t="s">
        <v>338</v>
      </c>
      <c r="G128" s="377" t="s">
        <v>477</v>
      </c>
      <c r="H128" s="846" t="s">
        <v>340</v>
      </c>
      <c r="I128" s="846"/>
      <c r="J128" s="418" t="s">
        <v>6</v>
      </c>
      <c r="K128" s="418">
        <v>1</v>
      </c>
      <c r="L128" s="310">
        <f>M128</f>
        <v>0.79074100000000003</v>
      </c>
      <c r="M128" s="309">
        <f>SUM(M129:M136)</f>
        <v>0.79074100000000003</v>
      </c>
    </row>
    <row r="129" spans="3:13" s="34" customFormat="1" ht="15.75" x14ac:dyDescent="0.25">
      <c r="C129" s="121" t="s">
        <v>246</v>
      </c>
      <c r="D129" s="4"/>
      <c r="E129" s="4" t="s">
        <v>247</v>
      </c>
      <c r="F129" s="4" t="s">
        <v>338</v>
      </c>
      <c r="G129" s="125" t="s">
        <v>17</v>
      </c>
      <c r="H129" s="846" t="s">
        <v>248</v>
      </c>
      <c r="I129" s="846"/>
      <c r="J129" s="418" t="s">
        <v>48</v>
      </c>
      <c r="K129" s="418">
        <v>1.2E-2</v>
      </c>
      <c r="L129" s="418" t="s">
        <v>341</v>
      </c>
      <c r="M129" s="309">
        <f t="shared" ref="M129:M136" si="11">K129*L129</f>
        <v>0.13116</v>
      </c>
    </row>
    <row r="130" spans="3:13" s="34" customFormat="1" ht="31.5" x14ac:dyDescent="0.25">
      <c r="C130" s="121" t="s">
        <v>246</v>
      </c>
      <c r="D130" s="4"/>
      <c r="E130" s="4" t="s">
        <v>342</v>
      </c>
      <c r="F130" s="4" t="s">
        <v>338</v>
      </c>
      <c r="G130" s="125" t="s">
        <v>152</v>
      </c>
      <c r="H130" s="846" t="s">
        <v>337</v>
      </c>
      <c r="I130" s="846"/>
      <c r="J130" s="418" t="s">
        <v>27</v>
      </c>
      <c r="K130" s="418">
        <v>1.2999999999999999E-3</v>
      </c>
      <c r="L130" s="418">
        <v>64.489999999999995</v>
      </c>
      <c r="M130" s="309">
        <f t="shared" si="11"/>
        <v>8.3836999999999995E-2</v>
      </c>
    </row>
    <row r="131" spans="3:13" s="34" customFormat="1" ht="31.5" x14ac:dyDescent="0.25">
      <c r="C131" s="121" t="s">
        <v>246</v>
      </c>
      <c r="D131" s="4"/>
      <c r="E131" s="4" t="s">
        <v>343</v>
      </c>
      <c r="F131" s="4" t="s">
        <v>338</v>
      </c>
      <c r="G131" s="337" t="s">
        <v>150</v>
      </c>
      <c r="H131" s="846" t="s">
        <v>337</v>
      </c>
      <c r="I131" s="846"/>
      <c r="J131" s="418" t="s">
        <v>28</v>
      </c>
      <c r="K131" s="418">
        <v>8.0000000000000004E-4</v>
      </c>
      <c r="L131" s="418">
        <v>41.95</v>
      </c>
      <c r="M131" s="309">
        <f t="shared" si="11"/>
        <v>3.3560000000000006E-2</v>
      </c>
    </row>
    <row r="132" spans="3:13" s="34" customFormat="1" ht="31.5" x14ac:dyDescent="0.25">
      <c r="C132" s="121" t="s">
        <v>246</v>
      </c>
      <c r="D132" s="4"/>
      <c r="E132" s="4" t="s">
        <v>344</v>
      </c>
      <c r="F132" s="4" t="s">
        <v>338</v>
      </c>
      <c r="G132" s="125" t="s">
        <v>153</v>
      </c>
      <c r="H132" s="846" t="s">
        <v>337</v>
      </c>
      <c r="I132" s="846"/>
      <c r="J132" s="418" t="s">
        <v>28</v>
      </c>
      <c r="K132" s="418">
        <v>1.2999999999999999E-3</v>
      </c>
      <c r="L132" s="418" t="s">
        <v>345</v>
      </c>
      <c r="M132" s="309">
        <f t="shared" si="11"/>
        <v>2.8808E-2</v>
      </c>
    </row>
    <row r="133" spans="3:13" s="34" customFormat="1" ht="47.25" x14ac:dyDescent="0.25">
      <c r="C133" s="121" t="s">
        <v>246</v>
      </c>
      <c r="D133" s="4"/>
      <c r="E133" s="4" t="s">
        <v>346</v>
      </c>
      <c r="F133" s="4" t="s">
        <v>338</v>
      </c>
      <c r="G133" s="125" t="s">
        <v>148</v>
      </c>
      <c r="H133" s="846" t="s">
        <v>337</v>
      </c>
      <c r="I133" s="846"/>
      <c r="J133" s="418" t="s">
        <v>27</v>
      </c>
      <c r="K133" s="418">
        <v>1.1999999999999999E-3</v>
      </c>
      <c r="L133" s="418">
        <v>117.44</v>
      </c>
      <c r="M133" s="309">
        <f t="shared" si="11"/>
        <v>0.140928</v>
      </c>
    </row>
    <row r="134" spans="3:13" s="34" customFormat="1" ht="31.5" x14ac:dyDescent="0.25">
      <c r="C134" s="121" t="s">
        <v>246</v>
      </c>
      <c r="D134" s="4"/>
      <c r="E134" s="4" t="s">
        <v>347</v>
      </c>
      <c r="F134" s="4" t="s">
        <v>338</v>
      </c>
      <c r="G134" s="125" t="s">
        <v>50</v>
      </c>
      <c r="H134" s="846" t="s">
        <v>337</v>
      </c>
      <c r="I134" s="846"/>
      <c r="J134" s="418" t="s">
        <v>27</v>
      </c>
      <c r="K134" s="418">
        <v>1.4E-3</v>
      </c>
      <c r="L134" s="418">
        <v>112.4</v>
      </c>
      <c r="M134" s="309">
        <f t="shared" si="11"/>
        <v>0.15736</v>
      </c>
    </row>
    <row r="135" spans="3:13" s="34" customFormat="1" ht="47.25" x14ac:dyDescent="0.25">
      <c r="C135" s="121" t="s">
        <v>246</v>
      </c>
      <c r="D135" s="4"/>
      <c r="E135" s="4" t="s">
        <v>348</v>
      </c>
      <c r="F135" s="4" t="s">
        <v>338</v>
      </c>
      <c r="G135" s="125" t="s">
        <v>151</v>
      </c>
      <c r="H135" s="846" t="s">
        <v>337</v>
      </c>
      <c r="I135" s="846"/>
      <c r="J135" s="418" t="s">
        <v>27</v>
      </c>
      <c r="K135" s="418">
        <v>1.6000000000000001E-3</v>
      </c>
      <c r="L135" s="418" t="s">
        <v>349</v>
      </c>
      <c r="M135" s="309">
        <f t="shared" si="11"/>
        <v>0.18345600000000001</v>
      </c>
    </row>
    <row r="136" spans="3:13" s="34" customFormat="1" ht="47.25" x14ac:dyDescent="0.25">
      <c r="C136" s="121" t="s">
        <v>246</v>
      </c>
      <c r="D136" s="4"/>
      <c r="E136" s="4" t="s">
        <v>350</v>
      </c>
      <c r="F136" s="4" t="s">
        <v>338</v>
      </c>
      <c r="G136" s="125" t="s">
        <v>149</v>
      </c>
      <c r="H136" s="846" t="s">
        <v>337</v>
      </c>
      <c r="I136" s="846"/>
      <c r="J136" s="418" t="s">
        <v>28</v>
      </c>
      <c r="K136" s="418">
        <v>1.1999999999999999E-3</v>
      </c>
      <c r="L136" s="418" t="s">
        <v>351</v>
      </c>
      <c r="M136" s="309">
        <f t="shared" si="11"/>
        <v>3.1631999999999993E-2</v>
      </c>
    </row>
    <row r="137" spans="3:13" s="34" customFormat="1" ht="15.75" x14ac:dyDescent="0.25">
      <c r="C137" s="121"/>
      <c r="D137" s="4"/>
      <c r="E137" s="4"/>
      <c r="F137" s="4"/>
      <c r="G137" s="125"/>
      <c r="H137" s="418" t="s">
        <v>262</v>
      </c>
      <c r="I137" s="310">
        <f>M15*M128</f>
        <v>0.20242969600000002</v>
      </c>
      <c r="J137" s="847" t="s">
        <v>263</v>
      </c>
      <c r="K137" s="847"/>
      <c r="L137" s="848">
        <f>M128+I137</f>
        <v>0.99317069600000008</v>
      </c>
      <c r="M137" s="849"/>
    </row>
    <row r="138" spans="3:13" s="34" customFormat="1" ht="16.5" thickBot="1" x14ac:dyDescent="0.3">
      <c r="C138" s="121"/>
      <c r="D138" s="4"/>
      <c r="E138" s="4"/>
      <c r="F138" s="4"/>
      <c r="G138" s="125"/>
      <c r="H138" s="418"/>
      <c r="I138" s="418"/>
      <c r="J138" s="418"/>
      <c r="K138" s="418"/>
      <c r="L138" s="418"/>
      <c r="M138" s="311"/>
    </row>
    <row r="139" spans="3:13" s="34" customFormat="1" ht="16.5" thickBot="1" x14ac:dyDescent="0.3">
      <c r="C139" s="355"/>
      <c r="D139" s="355" t="s">
        <v>233</v>
      </c>
      <c r="E139" s="355" t="s">
        <v>234</v>
      </c>
      <c r="F139" s="355" t="s">
        <v>235</v>
      </c>
      <c r="G139" s="356" t="s">
        <v>264</v>
      </c>
      <c r="H139" s="857" t="s">
        <v>237</v>
      </c>
      <c r="I139" s="857"/>
      <c r="J139" s="413" t="s">
        <v>238</v>
      </c>
      <c r="K139" s="413" t="s">
        <v>239</v>
      </c>
      <c r="L139" s="413" t="s">
        <v>240</v>
      </c>
      <c r="M139" s="413" t="s">
        <v>30</v>
      </c>
    </row>
    <row r="140" spans="3:13" s="34" customFormat="1" ht="15.75" x14ac:dyDescent="0.25">
      <c r="C140" s="378" t="s">
        <v>241</v>
      </c>
      <c r="D140" s="369" t="s">
        <v>475</v>
      </c>
      <c r="E140" s="373"/>
      <c r="F140" s="358" t="s">
        <v>338</v>
      </c>
      <c r="G140" s="379" t="s">
        <v>713</v>
      </c>
      <c r="H140" s="858" t="s">
        <v>340</v>
      </c>
      <c r="I140" s="858"/>
      <c r="J140" s="360" t="s">
        <v>11</v>
      </c>
      <c r="K140" s="360">
        <v>1</v>
      </c>
      <c r="L140" s="361">
        <f>M140</f>
        <v>8.2385348</v>
      </c>
      <c r="M140" s="380">
        <f>SUM(M141:M153)</f>
        <v>8.2385348</v>
      </c>
    </row>
    <row r="141" spans="3:13" s="34" customFormat="1" ht="25.5" x14ac:dyDescent="0.25">
      <c r="C141" s="400"/>
      <c r="D141" s="381"/>
      <c r="E141" s="382">
        <v>5932</v>
      </c>
      <c r="F141" s="417" t="s">
        <v>243</v>
      </c>
      <c r="G141" s="383" t="s">
        <v>50</v>
      </c>
      <c r="H141" s="856" t="s">
        <v>714</v>
      </c>
      <c r="I141" s="856"/>
      <c r="J141" s="411" t="s">
        <v>27</v>
      </c>
      <c r="K141" s="384">
        <v>1.35E-2</v>
      </c>
      <c r="L141" s="385">
        <v>151.22999999999999</v>
      </c>
      <c r="M141" s="401">
        <f>K141*L141</f>
        <v>2.0416049999999997</v>
      </c>
    </row>
    <row r="142" spans="3:13" s="34" customFormat="1" ht="25.5" x14ac:dyDescent="0.25">
      <c r="C142" s="400"/>
      <c r="D142" s="381"/>
      <c r="E142" s="386">
        <v>96463</v>
      </c>
      <c r="F142" s="417" t="s">
        <v>243</v>
      </c>
      <c r="G142" s="387" t="s">
        <v>715</v>
      </c>
      <c r="H142" s="855" t="s">
        <v>714</v>
      </c>
      <c r="I142" s="855"/>
      <c r="J142" s="412" t="s">
        <v>27</v>
      </c>
      <c r="K142" s="388">
        <v>7.4000000000000003E-3</v>
      </c>
      <c r="L142" s="389">
        <v>128.88999999999999</v>
      </c>
      <c r="M142" s="401">
        <f t="shared" ref="M142:M153" si="12">K142*L142</f>
        <v>0.95378599999999991</v>
      </c>
    </row>
    <row r="143" spans="3:13" s="34" customFormat="1" ht="38.25" x14ac:dyDescent="0.25">
      <c r="C143" s="400"/>
      <c r="D143" s="381"/>
      <c r="E143" s="382">
        <v>5901</v>
      </c>
      <c r="F143" s="417" t="s">
        <v>243</v>
      </c>
      <c r="G143" s="390" t="s">
        <v>148</v>
      </c>
      <c r="H143" s="856" t="s">
        <v>714</v>
      </c>
      <c r="I143" s="856"/>
      <c r="J143" s="411" t="s">
        <v>27</v>
      </c>
      <c r="K143" s="384">
        <v>8.0000000000000002E-3</v>
      </c>
      <c r="L143" s="385">
        <v>165.37</v>
      </c>
      <c r="M143" s="401">
        <f t="shared" si="12"/>
        <v>1.3229600000000001</v>
      </c>
    </row>
    <row r="144" spans="3:13" s="34" customFormat="1" ht="25.5" x14ac:dyDescent="0.25">
      <c r="C144" s="400"/>
      <c r="D144" s="381"/>
      <c r="E144" s="386">
        <v>89036</v>
      </c>
      <c r="F144" s="417" t="s">
        <v>243</v>
      </c>
      <c r="G144" s="387" t="s">
        <v>671</v>
      </c>
      <c r="H144" s="855" t="s">
        <v>716</v>
      </c>
      <c r="I144" s="855"/>
      <c r="J144" s="412" t="s">
        <v>28</v>
      </c>
      <c r="K144" s="388">
        <v>1.35E-2</v>
      </c>
      <c r="L144" s="389">
        <v>25.2</v>
      </c>
      <c r="M144" s="401">
        <f t="shared" si="12"/>
        <v>0.3402</v>
      </c>
    </row>
    <row r="145" spans="3:13" s="34" customFormat="1" ht="25.5" x14ac:dyDescent="0.25">
      <c r="C145" s="400"/>
      <c r="D145" s="381"/>
      <c r="E145" s="382">
        <v>5934</v>
      </c>
      <c r="F145" s="417" t="s">
        <v>243</v>
      </c>
      <c r="G145" s="390" t="s">
        <v>150</v>
      </c>
      <c r="H145" s="856" t="s">
        <v>716</v>
      </c>
      <c r="I145" s="856"/>
      <c r="J145" s="411" t="s">
        <v>28</v>
      </c>
      <c r="K145" s="384">
        <v>1.4999999999999999E-2</v>
      </c>
      <c r="L145" s="385">
        <v>52.98</v>
      </c>
      <c r="M145" s="401">
        <f t="shared" si="12"/>
        <v>0.79469999999999996</v>
      </c>
    </row>
    <row r="146" spans="3:13" s="34" customFormat="1" x14ac:dyDescent="0.25">
      <c r="C146" s="400"/>
      <c r="D146" s="381"/>
      <c r="E146" s="386">
        <v>88316</v>
      </c>
      <c r="F146" s="417" t="s">
        <v>243</v>
      </c>
      <c r="G146" s="387" t="s">
        <v>17</v>
      </c>
      <c r="H146" s="855" t="s">
        <v>717</v>
      </c>
      <c r="I146" s="855"/>
      <c r="J146" s="412" t="s">
        <v>48</v>
      </c>
      <c r="K146" s="388">
        <v>3.8699999999999998E-2</v>
      </c>
      <c r="L146" s="389">
        <v>11.28</v>
      </c>
      <c r="M146" s="401">
        <f t="shared" si="12"/>
        <v>0.43653599999999998</v>
      </c>
    </row>
    <row r="147" spans="3:13" s="34" customFormat="1" ht="25.5" x14ac:dyDescent="0.25">
      <c r="C147" s="400"/>
      <c r="D147" s="381"/>
      <c r="E147" s="382">
        <v>73436</v>
      </c>
      <c r="F147" s="417" t="s">
        <v>243</v>
      </c>
      <c r="G147" s="390" t="s">
        <v>718</v>
      </c>
      <c r="H147" s="856" t="s">
        <v>714</v>
      </c>
      <c r="I147" s="856"/>
      <c r="J147" s="411" t="s">
        <v>27</v>
      </c>
      <c r="K147" s="384">
        <v>4.1000000000000003E-3</v>
      </c>
      <c r="L147" s="385">
        <v>117.77</v>
      </c>
      <c r="M147" s="401">
        <f t="shared" si="12"/>
        <v>0.48285700000000004</v>
      </c>
    </row>
    <row r="148" spans="3:13" s="34" customFormat="1" ht="25.5" x14ac:dyDescent="0.25">
      <c r="C148" s="400"/>
      <c r="D148" s="381"/>
      <c r="E148" s="386">
        <v>5921</v>
      </c>
      <c r="F148" s="417" t="s">
        <v>243</v>
      </c>
      <c r="G148" s="387" t="s">
        <v>719</v>
      </c>
      <c r="H148" s="855" t="s">
        <v>714</v>
      </c>
      <c r="I148" s="855"/>
      <c r="J148" s="412" t="s">
        <v>27</v>
      </c>
      <c r="K148" s="391">
        <v>2.8E-3</v>
      </c>
      <c r="L148" s="389">
        <v>2.58</v>
      </c>
      <c r="M148" s="401">
        <f t="shared" si="12"/>
        <v>7.2240000000000004E-3</v>
      </c>
    </row>
    <row r="149" spans="3:13" s="34" customFormat="1" ht="38.25" x14ac:dyDescent="0.25">
      <c r="C149" s="400"/>
      <c r="D149" s="381"/>
      <c r="E149" s="382">
        <v>5903</v>
      </c>
      <c r="F149" s="417" t="s">
        <v>243</v>
      </c>
      <c r="G149" s="390" t="s">
        <v>149</v>
      </c>
      <c r="H149" s="856" t="s">
        <v>716</v>
      </c>
      <c r="I149" s="856"/>
      <c r="J149" s="411" t="s">
        <v>28</v>
      </c>
      <c r="K149" s="384">
        <v>9.5999999999999992E-3</v>
      </c>
      <c r="L149" s="385">
        <v>32.590000000000003</v>
      </c>
      <c r="M149" s="401">
        <f t="shared" si="12"/>
        <v>0.31286400000000003</v>
      </c>
    </row>
    <row r="150" spans="3:13" s="34" customFormat="1" ht="25.5" x14ac:dyDescent="0.25">
      <c r="C150" s="400"/>
      <c r="D150" s="381"/>
      <c r="E150" s="386">
        <v>5923</v>
      </c>
      <c r="F150" s="417" t="s">
        <v>243</v>
      </c>
      <c r="G150" s="387" t="s">
        <v>720</v>
      </c>
      <c r="H150" s="855" t="s">
        <v>716</v>
      </c>
      <c r="I150" s="855"/>
      <c r="J150" s="412" t="s">
        <v>28</v>
      </c>
      <c r="K150" s="388">
        <v>1.3299999999999999E-2</v>
      </c>
      <c r="L150" s="389">
        <v>1.67</v>
      </c>
      <c r="M150" s="401">
        <f t="shared" si="12"/>
        <v>2.2210999999999998E-2</v>
      </c>
    </row>
    <row r="151" spans="3:13" s="34" customFormat="1" ht="31.5" customHeight="1" x14ac:dyDescent="0.25">
      <c r="C151" s="400"/>
      <c r="D151" s="381"/>
      <c r="E151" s="382">
        <v>93244</v>
      </c>
      <c r="F151" s="417" t="s">
        <v>243</v>
      </c>
      <c r="G151" s="390" t="s">
        <v>721</v>
      </c>
      <c r="H151" s="856" t="s">
        <v>716</v>
      </c>
      <c r="I151" s="856"/>
      <c r="J151" s="411" t="s">
        <v>28</v>
      </c>
      <c r="K151" s="384">
        <v>0.02</v>
      </c>
      <c r="L151" s="385">
        <v>32.71</v>
      </c>
      <c r="M151" s="401">
        <f t="shared" si="12"/>
        <v>0.6542</v>
      </c>
    </row>
    <row r="152" spans="3:13" s="34" customFormat="1" ht="25.5" x14ac:dyDescent="0.25">
      <c r="C152" s="400"/>
      <c r="D152" s="381"/>
      <c r="E152" s="386">
        <v>89035</v>
      </c>
      <c r="F152" s="417" t="s">
        <v>243</v>
      </c>
      <c r="G152" s="387" t="s">
        <v>669</v>
      </c>
      <c r="H152" s="855" t="s">
        <v>714</v>
      </c>
      <c r="I152" s="855"/>
      <c r="J152" s="412" t="s">
        <v>27</v>
      </c>
      <c r="K152" s="388">
        <v>2.7799999999999999E-3</v>
      </c>
      <c r="L152" s="389">
        <v>73.81</v>
      </c>
      <c r="M152" s="401">
        <f t="shared" si="12"/>
        <v>0.20519180000000001</v>
      </c>
    </row>
    <row r="153" spans="3:13" s="34" customFormat="1" ht="26.25" x14ac:dyDescent="0.25">
      <c r="C153" s="400"/>
      <c r="D153" s="381"/>
      <c r="E153" s="417">
        <v>96464</v>
      </c>
      <c r="F153" s="417" t="s">
        <v>243</v>
      </c>
      <c r="G153" s="392" t="s">
        <v>722</v>
      </c>
      <c r="H153" s="850" t="s">
        <v>716</v>
      </c>
      <c r="I153" s="850"/>
      <c r="J153" s="417" t="s">
        <v>28</v>
      </c>
      <c r="K153" s="417">
        <v>1.4999999999999999E-2</v>
      </c>
      <c r="L153" s="393">
        <v>44.28</v>
      </c>
      <c r="M153" s="402">
        <f t="shared" si="12"/>
        <v>0.66420000000000001</v>
      </c>
    </row>
    <row r="154" spans="3:13" s="34" customFormat="1" ht="15.75" customHeight="1" thickBot="1" x14ac:dyDescent="0.3">
      <c r="C154" s="403"/>
      <c r="D154" s="404"/>
      <c r="E154" s="405"/>
      <c r="F154" s="405"/>
      <c r="G154" s="405"/>
      <c r="H154" s="418" t="s">
        <v>262</v>
      </c>
      <c r="I154" s="310">
        <f>M15*M140</f>
        <v>2.1090649088000002</v>
      </c>
      <c r="J154" s="847" t="s">
        <v>263</v>
      </c>
      <c r="K154" s="847"/>
      <c r="L154" s="848">
        <f>M140+I154</f>
        <v>10.347599708800001</v>
      </c>
      <c r="M154" s="849"/>
    </row>
    <row r="155" spans="3:13" s="34" customFormat="1" ht="15.75" x14ac:dyDescent="0.25">
      <c r="C155" s="394"/>
      <c r="D155" s="395"/>
      <c r="E155" s="395"/>
      <c r="F155" s="395"/>
      <c r="G155" s="396"/>
      <c r="H155" s="397"/>
      <c r="I155" s="397"/>
      <c r="J155" s="419"/>
      <c r="K155" s="419"/>
      <c r="L155" s="398"/>
      <c r="M155" s="399"/>
    </row>
    <row r="156" spans="3:13" s="34" customFormat="1" ht="15.75" x14ac:dyDescent="0.25">
      <c r="C156" s="103"/>
      <c r="D156" s="71" t="s">
        <v>233</v>
      </c>
      <c r="E156" s="71" t="s">
        <v>234</v>
      </c>
      <c r="F156" s="71" t="s">
        <v>235</v>
      </c>
      <c r="G156" s="86" t="s">
        <v>264</v>
      </c>
      <c r="H156" s="851" t="s">
        <v>237</v>
      </c>
      <c r="I156" s="851"/>
      <c r="J156" s="410" t="s">
        <v>238</v>
      </c>
      <c r="K156" s="410" t="s">
        <v>239</v>
      </c>
      <c r="L156" s="410" t="s">
        <v>240</v>
      </c>
      <c r="M156" s="74" t="s">
        <v>30</v>
      </c>
    </row>
    <row r="157" spans="3:13" s="34" customFormat="1" ht="15.75" x14ac:dyDescent="0.25">
      <c r="C157" s="121" t="s">
        <v>241</v>
      </c>
      <c r="D157" s="4" t="s">
        <v>582</v>
      </c>
      <c r="E157" s="4">
        <v>5502978</v>
      </c>
      <c r="F157" s="4" t="s">
        <v>338</v>
      </c>
      <c r="G157" s="122" t="s">
        <v>199</v>
      </c>
      <c r="H157" s="846" t="s">
        <v>340</v>
      </c>
      <c r="I157" s="846"/>
      <c r="J157" s="418" t="s">
        <v>6</v>
      </c>
      <c r="K157" s="418">
        <v>1</v>
      </c>
      <c r="L157" s="124">
        <f>M157</f>
        <v>3.4724488109393583</v>
      </c>
      <c r="M157" s="309">
        <f>M169+M170</f>
        <v>3.4724488109393583</v>
      </c>
    </row>
    <row r="158" spans="3:13" s="34" customFormat="1" ht="15.75" x14ac:dyDescent="0.25">
      <c r="C158" s="121"/>
      <c r="D158" s="4"/>
      <c r="E158" s="4"/>
      <c r="F158" s="4" t="s">
        <v>386</v>
      </c>
      <c r="G158" s="125"/>
      <c r="H158" s="418"/>
      <c r="I158" s="418"/>
      <c r="J158" s="418"/>
      <c r="K158" s="418"/>
      <c r="L158" s="124"/>
      <c r="M158" s="309">
        <f t="shared" ref="M158:M163" si="13">K158*L158</f>
        <v>0</v>
      </c>
    </row>
    <row r="159" spans="3:13" s="34" customFormat="1" ht="15.75" x14ac:dyDescent="0.25">
      <c r="C159" s="121"/>
      <c r="D159" s="4"/>
      <c r="E159" s="4" t="s">
        <v>360</v>
      </c>
      <c r="F159" s="4" t="s">
        <v>338</v>
      </c>
      <c r="G159" s="125" t="s">
        <v>361</v>
      </c>
      <c r="H159" s="418"/>
      <c r="I159" s="418"/>
      <c r="J159" s="418"/>
      <c r="K159" s="418">
        <v>1</v>
      </c>
      <c r="L159" s="124">
        <f>(0.29*185.4443)+(0.71*77.5969)</f>
        <v>108.872646</v>
      </c>
      <c r="M159" s="309">
        <f t="shared" si="13"/>
        <v>108.872646</v>
      </c>
    </row>
    <row r="160" spans="3:13" s="34" customFormat="1" ht="15.75" x14ac:dyDescent="0.25">
      <c r="C160" s="121"/>
      <c r="D160" s="4"/>
      <c r="E160" s="4" t="s">
        <v>387</v>
      </c>
      <c r="F160" s="4" t="s">
        <v>338</v>
      </c>
      <c r="G160" s="125" t="s">
        <v>388</v>
      </c>
      <c r="H160" s="418"/>
      <c r="I160" s="418"/>
      <c r="J160" s="418"/>
      <c r="K160" s="418">
        <v>1</v>
      </c>
      <c r="L160" s="124">
        <f>(0.52*100.3878)+(0.48*36.4827)</f>
        <v>69.713352</v>
      </c>
      <c r="M160" s="309">
        <f t="shared" si="13"/>
        <v>69.713352</v>
      </c>
    </row>
    <row r="161" spans="3:13" s="34" customFormat="1" ht="15.75" x14ac:dyDescent="0.25">
      <c r="C161" s="121"/>
      <c r="D161" s="4"/>
      <c r="E161" s="4" t="s">
        <v>389</v>
      </c>
      <c r="F161" s="4" t="s">
        <v>338</v>
      </c>
      <c r="G161" s="125" t="s">
        <v>390</v>
      </c>
      <c r="H161" s="418"/>
      <c r="I161" s="418"/>
      <c r="J161" s="418"/>
      <c r="K161" s="418">
        <v>1</v>
      </c>
      <c r="L161" s="124">
        <v>154.3134</v>
      </c>
      <c r="M161" s="309">
        <f t="shared" si="13"/>
        <v>154.3134</v>
      </c>
    </row>
    <row r="162" spans="3:13" s="34" customFormat="1" ht="15.75" x14ac:dyDescent="0.25">
      <c r="C162" s="121"/>
      <c r="D162" s="4"/>
      <c r="E162" s="4" t="s">
        <v>391</v>
      </c>
      <c r="F162" s="4" t="s">
        <v>338</v>
      </c>
      <c r="G162" s="125" t="s">
        <v>392</v>
      </c>
      <c r="H162" s="418"/>
      <c r="I162" s="418"/>
      <c r="J162" s="418"/>
      <c r="K162" s="418">
        <v>1</v>
      </c>
      <c r="L162" s="124">
        <f>(0.52*3.0386)+(0.48*2.0565)</f>
        <v>2.5671920000000004</v>
      </c>
      <c r="M162" s="309">
        <f t="shared" si="13"/>
        <v>2.5671920000000004</v>
      </c>
    </row>
    <row r="163" spans="3:13" s="34" customFormat="1" ht="15.75" x14ac:dyDescent="0.25">
      <c r="C163" s="121"/>
      <c r="D163" s="4"/>
      <c r="E163" s="4" t="s">
        <v>393</v>
      </c>
      <c r="F163" s="4" t="s">
        <v>338</v>
      </c>
      <c r="G163" s="125" t="s">
        <v>394</v>
      </c>
      <c r="H163" s="418"/>
      <c r="I163" s="418"/>
      <c r="J163" s="418"/>
      <c r="K163" s="418">
        <v>1</v>
      </c>
      <c r="L163" s="124">
        <f>(0.9*233.8791)+(0.1*59.5719)</f>
        <v>216.44837999999999</v>
      </c>
      <c r="M163" s="309">
        <f t="shared" si="13"/>
        <v>216.44837999999999</v>
      </c>
    </row>
    <row r="164" spans="3:13" s="34" customFormat="1" ht="15.75" x14ac:dyDescent="0.25">
      <c r="C164" s="121"/>
      <c r="D164" s="4"/>
      <c r="E164" s="4"/>
      <c r="F164" s="4"/>
      <c r="G164" s="125"/>
      <c r="H164" s="418"/>
      <c r="I164" s="418"/>
      <c r="J164" s="418"/>
      <c r="K164" s="852" t="s">
        <v>364</v>
      </c>
      <c r="L164" s="852"/>
      <c r="M164" s="309">
        <f>SUM(M159:M163)</f>
        <v>551.91497000000004</v>
      </c>
    </row>
    <row r="165" spans="3:13" s="34" customFormat="1" ht="15.75" x14ac:dyDescent="0.25">
      <c r="C165" s="121"/>
      <c r="D165" s="4"/>
      <c r="E165" s="4"/>
      <c r="F165" s="4" t="s">
        <v>395</v>
      </c>
      <c r="G165" s="125"/>
      <c r="H165" s="418"/>
      <c r="I165" s="418"/>
      <c r="J165" s="418"/>
      <c r="K165" s="418"/>
      <c r="L165" s="124"/>
      <c r="M165" s="309"/>
    </row>
    <row r="166" spans="3:13" s="34" customFormat="1" ht="15.75" x14ac:dyDescent="0.25">
      <c r="C166" s="121"/>
      <c r="D166" s="4"/>
      <c r="E166" s="4" t="s">
        <v>368</v>
      </c>
      <c r="F166" s="4" t="s">
        <v>338</v>
      </c>
      <c r="G166" s="125" t="s">
        <v>369</v>
      </c>
      <c r="H166" s="846"/>
      <c r="I166" s="846"/>
      <c r="J166" s="126" t="s">
        <v>48</v>
      </c>
      <c r="K166" s="127">
        <v>1</v>
      </c>
      <c r="L166" s="418">
        <v>16.996099999999998</v>
      </c>
      <c r="M166" s="309">
        <f t="shared" ref="M166" si="14">K166*L166</f>
        <v>16.996099999999998</v>
      </c>
    </row>
    <row r="167" spans="3:13" s="34" customFormat="1" ht="15.75" x14ac:dyDescent="0.25">
      <c r="C167" s="121"/>
      <c r="D167" s="4"/>
      <c r="E167" s="4"/>
      <c r="F167" s="4"/>
      <c r="G167" s="125"/>
      <c r="H167" s="418"/>
      <c r="I167" s="418"/>
      <c r="J167" s="126"/>
      <c r="K167" s="127" t="s">
        <v>370</v>
      </c>
      <c r="L167" s="418"/>
      <c r="M167" s="309">
        <f>SUM(M166:M166)</f>
        <v>16.996099999999998</v>
      </c>
    </row>
    <row r="168" spans="3:13" s="34" customFormat="1" ht="15.75" x14ac:dyDescent="0.25">
      <c r="C168" s="121"/>
      <c r="D168" s="4"/>
      <c r="E168" s="4"/>
      <c r="F168" s="4"/>
      <c r="G168" s="125"/>
      <c r="H168" s="418"/>
      <c r="I168" s="418"/>
      <c r="J168" s="126"/>
      <c r="K168" s="127" t="s">
        <v>372</v>
      </c>
      <c r="L168" s="128"/>
      <c r="M168" s="309">
        <f>M167+M164</f>
        <v>568.91107</v>
      </c>
    </row>
    <row r="169" spans="3:13" s="34" customFormat="1" ht="15.75" x14ac:dyDescent="0.25">
      <c r="C169" s="121"/>
      <c r="D169" s="4"/>
      <c r="E169" s="4"/>
      <c r="F169" s="4"/>
      <c r="G169" s="125"/>
      <c r="H169" s="418"/>
      <c r="I169" s="418"/>
      <c r="J169" s="126"/>
      <c r="K169" s="127" t="s">
        <v>384</v>
      </c>
      <c r="L169" s="128"/>
      <c r="M169" s="309">
        <f>M168/168.2</f>
        <v>3.3823488109393582</v>
      </c>
    </row>
    <row r="170" spans="3:13" s="34" customFormat="1" ht="15.75" x14ac:dyDescent="0.25">
      <c r="C170" s="121"/>
      <c r="D170" s="4"/>
      <c r="E170" s="4"/>
      <c r="F170" s="4"/>
      <c r="G170" s="125"/>
      <c r="H170" s="418"/>
      <c r="I170" s="418"/>
      <c r="J170" s="126"/>
      <c r="K170" s="127" t="s">
        <v>711</v>
      </c>
      <c r="L170" s="128"/>
      <c r="M170" s="309">
        <v>9.01E-2</v>
      </c>
    </row>
    <row r="171" spans="3:13" s="34" customFormat="1" ht="15.75" customHeight="1" x14ac:dyDescent="0.25">
      <c r="C171" s="121"/>
      <c r="D171" s="4"/>
      <c r="E171" s="4"/>
      <c r="F171" s="4"/>
      <c r="G171" s="125"/>
      <c r="H171" s="418" t="s">
        <v>262</v>
      </c>
      <c r="I171" s="310">
        <f>M15*M157</f>
        <v>0.88894689560047579</v>
      </c>
      <c r="J171" s="847" t="s">
        <v>263</v>
      </c>
      <c r="K171" s="847"/>
      <c r="L171" s="848">
        <f>I171+M157</f>
        <v>4.3613957065398345</v>
      </c>
      <c r="M171" s="849"/>
    </row>
    <row r="172" spans="3:13" s="34" customFormat="1" ht="15.75" x14ac:dyDescent="0.25">
      <c r="C172" s="121"/>
      <c r="D172" s="4"/>
      <c r="E172" s="4"/>
      <c r="F172" s="4"/>
      <c r="G172" s="125"/>
      <c r="H172" s="418"/>
      <c r="I172" s="418"/>
      <c r="J172" s="407"/>
      <c r="K172" s="407"/>
      <c r="L172" s="408"/>
      <c r="M172" s="416"/>
    </row>
    <row r="173" spans="3:13" s="34" customFormat="1" ht="15.75" x14ac:dyDescent="0.25">
      <c r="C173" s="121"/>
      <c r="D173" s="4"/>
      <c r="E173" s="4"/>
      <c r="F173" s="4"/>
      <c r="G173" s="125"/>
      <c r="H173" s="418"/>
      <c r="I173" s="418"/>
      <c r="J173" s="407"/>
      <c r="K173" s="407"/>
      <c r="L173" s="408"/>
      <c r="M173" s="416"/>
    </row>
    <row r="174" spans="3:13" s="34" customFormat="1" ht="15.75" x14ac:dyDescent="0.25">
      <c r="C174" s="121"/>
      <c r="D174" s="4"/>
      <c r="E174" s="4"/>
      <c r="F174" s="4"/>
      <c r="G174" s="125"/>
      <c r="H174" s="418"/>
      <c r="I174" s="418"/>
      <c r="J174" s="407"/>
      <c r="K174" s="407"/>
      <c r="L174" s="408"/>
      <c r="M174" s="416"/>
    </row>
    <row r="175" spans="3:13" s="34" customFormat="1" ht="15.75" x14ac:dyDescent="0.25">
      <c r="C175" s="121"/>
      <c r="D175" s="4"/>
      <c r="E175" s="4"/>
      <c r="F175" s="4"/>
      <c r="G175" s="125"/>
      <c r="H175" s="418"/>
      <c r="I175" s="418"/>
      <c r="J175" s="407"/>
      <c r="K175" s="407"/>
      <c r="L175" s="408"/>
      <c r="M175" s="416"/>
    </row>
    <row r="176" spans="3:13" s="34" customFormat="1" ht="15.75" x14ac:dyDescent="0.25">
      <c r="C176" s="121"/>
      <c r="D176" s="4"/>
      <c r="E176" s="4"/>
      <c r="F176" s="4"/>
      <c r="G176" s="125"/>
      <c r="H176" s="418"/>
      <c r="I176" s="418"/>
      <c r="J176" s="407"/>
      <c r="K176" s="407"/>
      <c r="L176" s="408"/>
      <c r="M176" s="416"/>
    </row>
    <row r="177" spans="3:13" s="34" customFormat="1" ht="15.75" x14ac:dyDescent="0.25">
      <c r="C177" s="121"/>
      <c r="D177" s="4"/>
      <c r="E177" s="4"/>
      <c r="F177" s="4"/>
      <c r="G177" s="337"/>
      <c r="H177" s="418"/>
      <c r="I177" s="418"/>
      <c r="J177" s="407"/>
      <c r="K177" s="407"/>
      <c r="L177" s="408"/>
      <c r="M177" s="416"/>
    </row>
    <row r="178" spans="3:13" s="34" customFormat="1" ht="15.75" x14ac:dyDescent="0.25">
      <c r="C178" s="121"/>
      <c r="D178" s="4"/>
      <c r="E178" s="4"/>
      <c r="F178" s="4"/>
      <c r="G178" s="125"/>
      <c r="H178" s="418"/>
      <c r="I178" s="418"/>
      <c r="J178" s="407"/>
      <c r="K178" s="407"/>
      <c r="L178" s="408"/>
      <c r="M178" s="416"/>
    </row>
    <row r="179" spans="3:13" ht="15.75" x14ac:dyDescent="0.25">
      <c r="C179" s="121"/>
      <c r="D179" s="4"/>
      <c r="E179" s="4"/>
      <c r="F179" s="4"/>
      <c r="G179" s="125"/>
      <c r="H179" s="418"/>
      <c r="I179" s="418"/>
      <c r="J179" s="418"/>
      <c r="K179" s="418"/>
      <c r="L179" s="418"/>
      <c r="M179" s="311"/>
    </row>
    <row r="180" spans="3:13" ht="15.75" x14ac:dyDescent="0.25">
      <c r="C180" s="103"/>
      <c r="D180" s="71" t="s">
        <v>233</v>
      </c>
      <c r="E180" s="71" t="s">
        <v>234</v>
      </c>
      <c r="F180" s="71" t="s">
        <v>235</v>
      </c>
      <c r="G180" s="86" t="s">
        <v>264</v>
      </c>
      <c r="H180" s="875" t="s">
        <v>237</v>
      </c>
      <c r="I180" s="876"/>
      <c r="J180" s="410" t="s">
        <v>238</v>
      </c>
      <c r="K180" s="410" t="s">
        <v>239</v>
      </c>
      <c r="L180" s="410" t="s">
        <v>240</v>
      </c>
      <c r="M180" s="74" t="s">
        <v>30</v>
      </c>
    </row>
    <row r="181" spans="3:13" ht="28.5" customHeight="1" x14ac:dyDescent="0.25">
      <c r="C181" s="121" t="s">
        <v>241</v>
      </c>
      <c r="D181" s="4" t="s">
        <v>579</v>
      </c>
      <c r="E181" s="4">
        <v>5915321</v>
      </c>
      <c r="F181" s="4" t="s">
        <v>338</v>
      </c>
      <c r="G181" s="406" t="s">
        <v>479</v>
      </c>
      <c r="H181" s="846" t="s">
        <v>353</v>
      </c>
      <c r="I181" s="846"/>
      <c r="J181" s="418" t="s">
        <v>354</v>
      </c>
      <c r="K181" s="418">
        <v>1</v>
      </c>
      <c r="L181" s="418">
        <v>0.35</v>
      </c>
      <c r="M181" s="309">
        <f>SUM(M182:M183)</f>
        <v>0.5826675</v>
      </c>
    </row>
    <row r="182" spans="3:13" ht="48.75" customHeight="1" x14ac:dyDescent="0.25">
      <c r="C182" s="121" t="s">
        <v>246</v>
      </c>
      <c r="D182" s="4"/>
      <c r="E182" s="4" t="s">
        <v>355</v>
      </c>
      <c r="F182" s="4" t="s">
        <v>338</v>
      </c>
      <c r="G182" s="337" t="s">
        <v>25</v>
      </c>
      <c r="H182" s="846" t="s">
        <v>337</v>
      </c>
      <c r="I182" s="846"/>
      <c r="J182" s="418" t="s">
        <v>27</v>
      </c>
      <c r="K182" s="418">
        <v>5.1000000000000004E-3</v>
      </c>
      <c r="L182" s="418">
        <v>112.32</v>
      </c>
      <c r="M182" s="309">
        <f t="shared" ref="M182:M183" si="15">K182*L182</f>
        <v>0.57283200000000001</v>
      </c>
    </row>
    <row r="183" spans="3:13" ht="51" customHeight="1" x14ac:dyDescent="0.25">
      <c r="C183" s="121" t="s">
        <v>246</v>
      </c>
      <c r="D183" s="4"/>
      <c r="E183" s="4" t="s">
        <v>356</v>
      </c>
      <c r="F183" s="4" t="s">
        <v>338</v>
      </c>
      <c r="G183" s="337" t="s">
        <v>26</v>
      </c>
      <c r="H183" s="846" t="s">
        <v>337</v>
      </c>
      <c r="I183" s="846"/>
      <c r="J183" s="418" t="s">
        <v>28</v>
      </c>
      <c r="K183" s="418" t="s">
        <v>580</v>
      </c>
      <c r="L183" s="418">
        <v>12.45</v>
      </c>
      <c r="M183" s="309">
        <f t="shared" si="15"/>
        <v>9.8354999999999988E-3</v>
      </c>
    </row>
    <row r="184" spans="3:13" ht="15.75" x14ac:dyDescent="0.25">
      <c r="C184" s="121"/>
      <c r="D184" s="4"/>
      <c r="E184" s="4"/>
      <c r="F184" s="4"/>
      <c r="G184" s="125"/>
      <c r="H184" s="418" t="s">
        <v>262</v>
      </c>
      <c r="I184" s="124">
        <f>0.25*M181</f>
        <v>0.145666875</v>
      </c>
      <c r="J184" s="847" t="s">
        <v>263</v>
      </c>
      <c r="K184" s="847"/>
      <c r="L184" s="848">
        <f>M181+I184</f>
        <v>0.72833437499999998</v>
      </c>
      <c r="M184" s="849"/>
    </row>
    <row r="185" spans="3:13" ht="15.75" x14ac:dyDescent="0.25">
      <c r="C185" s="121"/>
      <c r="D185" s="4"/>
      <c r="E185" s="4"/>
      <c r="F185" s="4"/>
      <c r="G185" s="125"/>
      <c r="H185" s="418"/>
      <c r="I185" s="418"/>
      <c r="J185" s="418"/>
      <c r="K185" s="418"/>
      <c r="L185" s="418"/>
      <c r="M185" s="311"/>
    </row>
    <row r="186" spans="3:13" ht="15.75" x14ac:dyDescent="0.25">
      <c r="C186" s="103"/>
      <c r="D186" s="71" t="s">
        <v>233</v>
      </c>
      <c r="E186" s="71" t="s">
        <v>234</v>
      </c>
      <c r="F186" s="71" t="s">
        <v>235</v>
      </c>
      <c r="G186" s="86" t="s">
        <v>264</v>
      </c>
      <c r="H186" s="851" t="s">
        <v>237</v>
      </c>
      <c r="I186" s="851"/>
      <c r="J186" s="410" t="s">
        <v>238</v>
      </c>
      <c r="K186" s="410" t="s">
        <v>239</v>
      </c>
      <c r="L186" s="410" t="s">
        <v>240</v>
      </c>
      <c r="M186" s="74" t="s">
        <v>30</v>
      </c>
    </row>
    <row r="187" spans="3:13" ht="15.75" x14ac:dyDescent="0.25">
      <c r="C187" s="121" t="s">
        <v>241</v>
      </c>
      <c r="D187" s="4" t="s">
        <v>583</v>
      </c>
      <c r="E187" s="4">
        <v>2003319</v>
      </c>
      <c r="F187" s="4" t="s">
        <v>338</v>
      </c>
      <c r="G187" s="318" t="s">
        <v>584</v>
      </c>
      <c r="H187" s="873" t="s">
        <v>195</v>
      </c>
      <c r="I187" s="874"/>
      <c r="J187" s="418" t="s">
        <v>6</v>
      </c>
      <c r="K187" s="418">
        <v>1</v>
      </c>
      <c r="L187" s="124">
        <f>M187</f>
        <v>64.39641945935999</v>
      </c>
      <c r="M187" s="309">
        <f>L207/1.25</f>
        <v>64.39641945935999</v>
      </c>
    </row>
    <row r="188" spans="3:13" ht="15.75" x14ac:dyDescent="0.25">
      <c r="C188" s="121"/>
      <c r="D188" s="4"/>
      <c r="E188" s="4"/>
      <c r="F188" s="4" t="s">
        <v>365</v>
      </c>
      <c r="G188" s="125"/>
      <c r="H188" s="418"/>
      <c r="I188" s="418"/>
      <c r="J188" s="418"/>
      <c r="K188" s="418"/>
      <c r="L188" s="124"/>
      <c r="M188" s="309"/>
    </row>
    <row r="189" spans="3:13" ht="15.75" x14ac:dyDescent="0.25">
      <c r="C189" s="121"/>
      <c r="D189" s="4"/>
      <c r="E189" s="4" t="s">
        <v>366</v>
      </c>
      <c r="F189" s="4" t="s">
        <v>338</v>
      </c>
      <c r="G189" s="44" t="s">
        <v>367</v>
      </c>
      <c r="H189" s="846"/>
      <c r="I189" s="846"/>
      <c r="J189" s="126"/>
      <c r="K189" s="127">
        <v>0.25</v>
      </c>
      <c r="L189" s="418">
        <v>25.49</v>
      </c>
      <c r="M189" s="309">
        <v>6.3724999999999996</v>
      </c>
    </row>
    <row r="190" spans="3:13" ht="15.75" x14ac:dyDescent="0.25">
      <c r="C190" s="121"/>
      <c r="D190" s="4"/>
      <c r="E190" s="4"/>
      <c r="F190" s="4"/>
      <c r="G190" s="125"/>
      <c r="H190" s="418"/>
      <c r="I190" s="418"/>
      <c r="J190" s="126"/>
      <c r="K190" s="868" t="s">
        <v>370</v>
      </c>
      <c r="L190" s="868"/>
      <c r="M190" s="309">
        <v>6.3724999999999996</v>
      </c>
    </row>
    <row r="191" spans="3:13" ht="15.75" x14ac:dyDescent="0.25">
      <c r="C191" s="121"/>
      <c r="D191" s="4"/>
      <c r="E191" s="4"/>
      <c r="F191" s="4"/>
      <c r="G191" s="125"/>
      <c r="H191" s="846"/>
      <c r="I191" s="846"/>
      <c r="J191" s="126"/>
      <c r="K191" s="319" t="s">
        <v>371</v>
      </c>
      <c r="L191" s="128">
        <v>0.15509999999999999</v>
      </c>
      <c r="M191" s="309">
        <v>0.98837474999999986</v>
      </c>
    </row>
    <row r="192" spans="3:13" ht="15.75" x14ac:dyDescent="0.25">
      <c r="C192" s="121"/>
      <c r="D192" s="4"/>
      <c r="E192" s="4"/>
      <c r="F192" s="4"/>
      <c r="G192" s="125"/>
      <c r="H192" s="418"/>
      <c r="I192" s="418"/>
      <c r="J192" s="126"/>
      <c r="K192" s="127" t="s">
        <v>372</v>
      </c>
      <c r="L192" s="128"/>
      <c r="M192" s="309">
        <v>7.3608747499999998</v>
      </c>
    </row>
    <row r="193" spans="3:13" ht="15.75" x14ac:dyDescent="0.25">
      <c r="C193" s="121"/>
      <c r="D193" s="4"/>
      <c r="E193" s="4"/>
      <c r="F193" s="4"/>
      <c r="G193" s="125"/>
      <c r="H193" s="418"/>
      <c r="I193" s="418"/>
      <c r="J193" s="126"/>
      <c r="K193" s="319" t="s">
        <v>373</v>
      </c>
      <c r="L193" s="128"/>
      <c r="M193" s="309">
        <v>7.3608747499999998</v>
      </c>
    </row>
    <row r="194" spans="3:13" ht="15.75" x14ac:dyDescent="0.25">
      <c r="C194" s="121"/>
      <c r="D194" s="4"/>
      <c r="E194" s="4"/>
      <c r="F194" s="4" t="s">
        <v>374</v>
      </c>
      <c r="G194" s="125"/>
      <c r="H194" s="418"/>
      <c r="I194" s="418"/>
      <c r="J194" s="126"/>
      <c r="K194" s="127"/>
      <c r="L194" s="128"/>
      <c r="M194" s="309"/>
    </row>
    <row r="195" spans="3:13" ht="15.75" x14ac:dyDescent="0.25">
      <c r="C195" s="121"/>
      <c r="D195" s="4"/>
      <c r="E195" s="4" t="s">
        <v>585</v>
      </c>
      <c r="F195" s="4" t="s">
        <v>338</v>
      </c>
      <c r="G195" s="320" t="s">
        <v>586</v>
      </c>
      <c r="H195" s="418"/>
      <c r="I195" s="418"/>
      <c r="J195" s="126" t="s">
        <v>485</v>
      </c>
      <c r="K195" s="321">
        <v>2.0000000000000001E-4</v>
      </c>
      <c r="L195" s="310">
        <v>0</v>
      </c>
      <c r="M195" s="309">
        <v>0</v>
      </c>
    </row>
    <row r="196" spans="3:13" ht="15.75" x14ac:dyDescent="0.25">
      <c r="C196" s="121"/>
      <c r="D196" s="4"/>
      <c r="E196" s="4"/>
      <c r="F196" s="4"/>
      <c r="G196" s="125"/>
      <c r="H196" s="418"/>
      <c r="I196" s="418"/>
      <c r="J196" s="126"/>
      <c r="K196" s="319" t="s">
        <v>377</v>
      </c>
      <c r="L196" s="128"/>
      <c r="M196" s="309">
        <v>0</v>
      </c>
    </row>
    <row r="197" spans="3:13" ht="15.75" x14ac:dyDescent="0.25">
      <c r="C197" s="121"/>
      <c r="D197" s="4"/>
      <c r="E197" s="4"/>
      <c r="F197" s="4" t="s">
        <v>378</v>
      </c>
      <c r="G197" s="125"/>
      <c r="H197" s="418"/>
      <c r="I197" s="418"/>
      <c r="J197" s="126"/>
      <c r="K197" s="319"/>
      <c r="L197" s="128"/>
      <c r="M197" s="309"/>
    </row>
    <row r="198" spans="3:13" ht="15.75" x14ac:dyDescent="0.25">
      <c r="C198" s="121"/>
      <c r="D198" s="4"/>
      <c r="E198" s="4" t="s">
        <v>587</v>
      </c>
      <c r="F198" s="4" t="s">
        <v>338</v>
      </c>
      <c r="G198" s="320" t="s">
        <v>588</v>
      </c>
      <c r="H198" s="418"/>
      <c r="I198" s="418"/>
      <c r="J198" s="126" t="s">
        <v>11</v>
      </c>
      <c r="K198" s="127">
        <v>1</v>
      </c>
      <c r="L198" s="124">
        <v>3.61</v>
      </c>
      <c r="M198" s="309">
        <v>3.61</v>
      </c>
    </row>
    <row r="199" spans="3:13" ht="15.75" x14ac:dyDescent="0.25">
      <c r="C199" s="121"/>
      <c r="D199" s="4"/>
      <c r="E199" s="4" t="s">
        <v>589</v>
      </c>
      <c r="F199" s="4" t="s">
        <v>338</v>
      </c>
      <c r="G199" s="320" t="s">
        <v>590</v>
      </c>
      <c r="H199" s="418"/>
      <c r="I199" s="418"/>
      <c r="J199" s="126" t="s">
        <v>11</v>
      </c>
      <c r="K199" s="127">
        <v>0.151</v>
      </c>
      <c r="L199" s="124">
        <v>260.39</v>
      </c>
      <c r="M199" s="309">
        <v>39.318889999999996</v>
      </c>
    </row>
    <row r="200" spans="3:13" ht="15.75" x14ac:dyDescent="0.25">
      <c r="C200" s="121"/>
      <c r="D200" s="4"/>
      <c r="E200" s="4" t="s">
        <v>591</v>
      </c>
      <c r="F200" s="4" t="s">
        <v>338</v>
      </c>
      <c r="G200" s="320" t="s">
        <v>592</v>
      </c>
      <c r="H200" s="418"/>
      <c r="I200" s="418"/>
      <c r="J200" s="126" t="s">
        <v>12</v>
      </c>
      <c r="K200" s="127">
        <v>3.5000000000000003E-2</v>
      </c>
      <c r="L200" s="124">
        <v>7.18</v>
      </c>
      <c r="M200" s="309">
        <v>0.25130000000000002</v>
      </c>
    </row>
    <row r="201" spans="3:13" ht="15.75" x14ac:dyDescent="0.25">
      <c r="C201" s="121"/>
      <c r="D201" s="4"/>
      <c r="E201" s="4" t="s">
        <v>593</v>
      </c>
      <c r="F201" s="4" t="s">
        <v>338</v>
      </c>
      <c r="G201" s="320" t="s">
        <v>594</v>
      </c>
      <c r="H201" s="418"/>
      <c r="I201" s="418"/>
      <c r="J201" s="126" t="s">
        <v>11</v>
      </c>
      <c r="K201" s="127">
        <v>0.28299999999999997</v>
      </c>
      <c r="L201" s="124">
        <v>33.17</v>
      </c>
      <c r="M201" s="309">
        <v>9.3871099999999998</v>
      </c>
    </row>
    <row r="202" spans="3:13" ht="15.75" x14ac:dyDescent="0.25">
      <c r="C202" s="121"/>
      <c r="D202" s="4"/>
      <c r="E202" s="4"/>
      <c r="F202" s="4"/>
      <c r="G202" s="125"/>
      <c r="H202" s="418"/>
      <c r="I202" s="418"/>
      <c r="J202" s="126"/>
      <c r="K202" s="127" t="s">
        <v>383</v>
      </c>
      <c r="L202" s="128"/>
      <c r="M202" s="309">
        <v>52.567299999999996</v>
      </c>
    </row>
    <row r="203" spans="3:13" ht="15.75" x14ac:dyDescent="0.25">
      <c r="C203" s="121"/>
      <c r="D203" s="4"/>
      <c r="E203" s="869" t="s">
        <v>595</v>
      </c>
      <c r="F203" s="870"/>
      <c r="G203" s="871"/>
      <c r="H203" s="418"/>
      <c r="I203" s="418"/>
      <c r="J203" s="126"/>
      <c r="K203" s="127"/>
      <c r="L203" s="128"/>
      <c r="M203" s="309"/>
    </row>
    <row r="204" spans="3:13" ht="15.75" x14ac:dyDescent="0.25">
      <c r="C204" s="121"/>
      <c r="D204" s="4"/>
      <c r="E204" s="4" t="s">
        <v>587</v>
      </c>
      <c r="F204" s="4" t="s">
        <v>338</v>
      </c>
      <c r="G204" s="320" t="s">
        <v>588</v>
      </c>
      <c r="H204" s="418"/>
      <c r="I204" s="418"/>
      <c r="J204" s="126"/>
      <c r="K204" s="127">
        <v>0.26</v>
      </c>
      <c r="L204" s="124">
        <v>0</v>
      </c>
      <c r="M204" s="309">
        <v>0</v>
      </c>
    </row>
    <row r="205" spans="3:13" ht="15.75" x14ac:dyDescent="0.25">
      <c r="C205" s="121"/>
      <c r="D205" s="4"/>
      <c r="E205" s="4"/>
      <c r="F205" s="4"/>
      <c r="G205" s="125"/>
      <c r="H205" s="418"/>
      <c r="I205" s="418"/>
      <c r="J205" s="126"/>
      <c r="K205" s="127" t="s">
        <v>384</v>
      </c>
      <c r="L205" s="128"/>
      <c r="M205" s="309">
        <v>59.928174749999997</v>
      </c>
    </row>
    <row r="206" spans="3:13" ht="15.75" x14ac:dyDescent="0.25">
      <c r="C206" s="121"/>
      <c r="D206" s="4"/>
      <c r="E206" s="4"/>
      <c r="F206" s="4"/>
      <c r="G206" s="125"/>
      <c r="H206" s="418"/>
      <c r="I206" s="418"/>
      <c r="J206" s="126"/>
      <c r="K206" s="127" t="s">
        <v>385</v>
      </c>
      <c r="L206" s="128">
        <v>0.34320000000000001</v>
      </c>
      <c r="M206" s="309">
        <v>20.567349574199998</v>
      </c>
    </row>
    <row r="207" spans="3:13" ht="15.75" x14ac:dyDescent="0.25">
      <c r="C207" s="121"/>
      <c r="D207" s="4"/>
      <c r="E207" s="4"/>
      <c r="F207" s="4"/>
      <c r="G207" s="125"/>
      <c r="H207" s="418"/>
      <c r="I207" s="418"/>
      <c r="J207" s="847" t="s">
        <v>263</v>
      </c>
      <c r="K207" s="847"/>
      <c r="L207" s="848">
        <v>80.495524324199991</v>
      </c>
      <c r="M207" s="872"/>
    </row>
    <row r="208" spans="3:13" ht="15.75" x14ac:dyDescent="0.25">
      <c r="C208" s="121"/>
      <c r="D208" s="4"/>
      <c r="E208" s="4"/>
      <c r="F208" s="4"/>
      <c r="G208" s="125"/>
      <c r="H208" s="418"/>
      <c r="I208" s="418"/>
      <c r="J208" s="418"/>
      <c r="K208" s="418"/>
      <c r="L208" s="418"/>
      <c r="M208" s="311"/>
    </row>
    <row r="209" spans="3:13" ht="15.75" x14ac:dyDescent="0.25">
      <c r="C209" s="103"/>
      <c r="D209" s="71" t="s">
        <v>233</v>
      </c>
      <c r="E209" s="71" t="s">
        <v>234</v>
      </c>
      <c r="F209" s="71" t="s">
        <v>235</v>
      </c>
      <c r="G209" s="86" t="s">
        <v>264</v>
      </c>
      <c r="H209" s="851" t="s">
        <v>237</v>
      </c>
      <c r="I209" s="851"/>
      <c r="J209" s="410" t="s">
        <v>238</v>
      </c>
      <c r="K209" s="410" t="s">
        <v>239</v>
      </c>
      <c r="L209" s="410" t="s">
        <v>240</v>
      </c>
      <c r="M209" s="74" t="s">
        <v>30</v>
      </c>
    </row>
    <row r="210" spans="3:13" ht="31.5" x14ac:dyDescent="0.25">
      <c r="C210" s="121" t="s">
        <v>241</v>
      </c>
      <c r="D210" s="4" t="s">
        <v>599</v>
      </c>
      <c r="E210" s="4">
        <v>804021</v>
      </c>
      <c r="F210" s="3"/>
      <c r="G210" s="322" t="s">
        <v>600</v>
      </c>
      <c r="H210" s="3"/>
      <c r="I210" s="3"/>
      <c r="J210" s="3"/>
      <c r="K210" s="323" t="s">
        <v>601</v>
      </c>
      <c r="L210" s="324">
        <f>M210</f>
        <v>286.70793200000003</v>
      </c>
      <c r="M210" s="536">
        <f>SUM(M211:M216)</f>
        <v>286.70793200000003</v>
      </c>
    </row>
    <row r="211" spans="3:13" ht="31.5" x14ac:dyDescent="0.25">
      <c r="C211" s="537"/>
      <c r="D211" s="3"/>
      <c r="E211" s="313" t="s">
        <v>602</v>
      </c>
      <c r="F211" s="43" t="s">
        <v>338</v>
      </c>
      <c r="G211" s="314" t="s">
        <v>597</v>
      </c>
      <c r="H211" s="853" t="s">
        <v>397</v>
      </c>
      <c r="I211" s="853"/>
      <c r="J211" s="313" t="s">
        <v>27</v>
      </c>
      <c r="K211" s="315">
        <v>0.05</v>
      </c>
      <c r="L211" s="316">
        <v>117.09</v>
      </c>
      <c r="M211" s="536">
        <f>K211*L211</f>
        <v>5.8545000000000007</v>
      </c>
    </row>
    <row r="212" spans="3:13" ht="31.5" x14ac:dyDescent="0.25">
      <c r="C212" s="537"/>
      <c r="D212" s="3"/>
      <c r="E212" s="313" t="s">
        <v>603</v>
      </c>
      <c r="F212" s="43" t="s">
        <v>338</v>
      </c>
      <c r="G212" s="314" t="s">
        <v>598</v>
      </c>
      <c r="H212" s="853" t="s">
        <v>397</v>
      </c>
      <c r="I212" s="853"/>
      <c r="J212" s="313" t="s">
        <v>28</v>
      </c>
      <c r="K212" s="315">
        <v>0.09</v>
      </c>
      <c r="L212" s="316">
        <v>41.79</v>
      </c>
      <c r="M212" s="536">
        <f t="shared" ref="M212:M216" si="16">K212*L212</f>
        <v>3.7610999999999999</v>
      </c>
    </row>
    <row r="213" spans="3:13" ht="31.5" x14ac:dyDescent="0.25">
      <c r="C213" s="537"/>
      <c r="D213" s="3"/>
      <c r="E213" s="313" t="s">
        <v>604</v>
      </c>
      <c r="F213" s="43" t="s">
        <v>338</v>
      </c>
      <c r="G213" s="314" t="s">
        <v>605</v>
      </c>
      <c r="H213" s="853" t="s">
        <v>195</v>
      </c>
      <c r="I213" s="853"/>
      <c r="J213" s="313" t="s">
        <v>45</v>
      </c>
      <c r="K213" s="315">
        <v>0.77</v>
      </c>
      <c r="L213" s="316">
        <v>288.91000000000003</v>
      </c>
      <c r="M213" s="536">
        <f t="shared" si="16"/>
        <v>222.46070000000003</v>
      </c>
    </row>
    <row r="214" spans="3:13" ht="31.5" x14ac:dyDescent="0.25">
      <c r="C214" s="537"/>
      <c r="D214" s="3"/>
      <c r="E214" s="313" t="s">
        <v>606</v>
      </c>
      <c r="F214" s="43" t="s">
        <v>338</v>
      </c>
      <c r="G214" s="314" t="s">
        <v>607</v>
      </c>
      <c r="H214" s="853" t="s">
        <v>195</v>
      </c>
      <c r="I214" s="853"/>
      <c r="J214" s="313" t="s">
        <v>166</v>
      </c>
      <c r="K214" s="315">
        <v>0.51939999999999997</v>
      </c>
      <c r="L214" s="316">
        <v>87.78</v>
      </c>
      <c r="M214" s="536">
        <f t="shared" si="16"/>
        <v>45.592931999999998</v>
      </c>
    </row>
    <row r="215" spans="3:13" ht="15.75" x14ac:dyDescent="0.25">
      <c r="C215" s="537"/>
      <c r="D215" s="3"/>
      <c r="E215" s="313" t="s">
        <v>608</v>
      </c>
      <c r="F215" s="43" t="s">
        <v>338</v>
      </c>
      <c r="G215" s="314" t="s">
        <v>609</v>
      </c>
      <c r="H215" s="853" t="s">
        <v>610</v>
      </c>
      <c r="I215" s="853"/>
      <c r="J215" s="313" t="s">
        <v>48</v>
      </c>
      <c r="K215" s="315">
        <v>0.25</v>
      </c>
      <c r="L215" s="316">
        <v>17.940000000000001</v>
      </c>
      <c r="M215" s="536">
        <f t="shared" si="16"/>
        <v>4.4850000000000003</v>
      </c>
    </row>
    <row r="216" spans="3:13" ht="15.75" x14ac:dyDescent="0.25">
      <c r="C216" s="537"/>
      <c r="D216" s="3"/>
      <c r="E216" s="313" t="s">
        <v>18</v>
      </c>
      <c r="F216" s="43" t="s">
        <v>338</v>
      </c>
      <c r="G216" s="314" t="s">
        <v>17</v>
      </c>
      <c r="H216" s="853" t="s">
        <v>610</v>
      </c>
      <c r="I216" s="853"/>
      <c r="J216" s="313" t="s">
        <v>48</v>
      </c>
      <c r="K216" s="315">
        <v>0.43</v>
      </c>
      <c r="L216" s="316">
        <v>10.59</v>
      </c>
      <c r="M216" s="536">
        <f t="shared" si="16"/>
        <v>4.5537000000000001</v>
      </c>
    </row>
    <row r="217" spans="3:13" ht="15.75" x14ac:dyDescent="0.25">
      <c r="C217" s="281"/>
      <c r="D217" s="11"/>
      <c r="E217" s="11"/>
      <c r="F217" s="11"/>
      <c r="G217" s="11"/>
      <c r="H217" s="418" t="s">
        <v>262</v>
      </c>
      <c r="I217" s="5">
        <f>M15*M210</f>
        <v>73.397230592000014</v>
      </c>
      <c r="J217" s="847" t="s">
        <v>263</v>
      </c>
      <c r="K217" s="847"/>
      <c r="L217" s="854">
        <f>M210+I217</f>
        <v>360.10516259200006</v>
      </c>
      <c r="M217" s="849"/>
    </row>
    <row r="218" spans="3:13" ht="15.75" x14ac:dyDescent="0.25">
      <c r="C218" s="121"/>
      <c r="D218" s="4"/>
      <c r="E218" s="4"/>
      <c r="F218" s="4"/>
      <c r="G218" s="125"/>
      <c r="H218" s="418"/>
      <c r="I218" s="418"/>
      <c r="J218" s="418"/>
      <c r="K218" s="418"/>
      <c r="L218" s="310"/>
      <c r="M218" s="309"/>
    </row>
    <row r="219" spans="3:13" ht="15.75" x14ac:dyDescent="0.25">
      <c r="C219" s="103"/>
      <c r="D219" s="71" t="s">
        <v>233</v>
      </c>
      <c r="E219" s="71" t="s">
        <v>234</v>
      </c>
      <c r="F219" s="71" t="s">
        <v>235</v>
      </c>
      <c r="G219" s="86" t="s">
        <v>264</v>
      </c>
      <c r="H219" s="851" t="s">
        <v>237</v>
      </c>
      <c r="I219" s="851"/>
      <c r="J219" s="410" t="s">
        <v>238</v>
      </c>
      <c r="K219" s="410" t="s">
        <v>239</v>
      </c>
      <c r="L219" s="410" t="s">
        <v>240</v>
      </c>
      <c r="M219" s="74" t="s">
        <v>30</v>
      </c>
    </row>
    <row r="220" spans="3:13" ht="31.5" x14ac:dyDescent="0.25">
      <c r="C220" s="121" t="s">
        <v>241</v>
      </c>
      <c r="D220" s="4" t="s">
        <v>611</v>
      </c>
      <c r="E220" s="4">
        <v>804029</v>
      </c>
      <c r="F220" s="3"/>
      <c r="G220" s="322" t="s">
        <v>612</v>
      </c>
      <c r="H220" s="3"/>
      <c r="I220" s="3"/>
      <c r="J220" s="3"/>
      <c r="K220" s="323" t="s">
        <v>601</v>
      </c>
      <c r="L220" s="324">
        <f>M220</f>
        <v>452.37014400000004</v>
      </c>
      <c r="M220" s="536">
        <f>SUM(M221:M226)</f>
        <v>452.37014400000004</v>
      </c>
    </row>
    <row r="221" spans="3:13" ht="31.5" x14ac:dyDescent="0.25">
      <c r="C221" s="537"/>
      <c r="D221" s="3"/>
      <c r="E221" s="313" t="s">
        <v>602</v>
      </c>
      <c r="F221" s="43" t="s">
        <v>338</v>
      </c>
      <c r="G221" s="314" t="s">
        <v>597</v>
      </c>
      <c r="H221" s="853" t="s">
        <v>397</v>
      </c>
      <c r="I221" s="853"/>
      <c r="J221" s="313" t="s">
        <v>27</v>
      </c>
      <c r="K221" s="315">
        <v>0.08</v>
      </c>
      <c r="L221" s="316">
        <v>117.09</v>
      </c>
      <c r="M221" s="536">
        <f>K221*L221</f>
        <v>9.3672000000000004</v>
      </c>
    </row>
    <row r="222" spans="3:13" ht="31.5" x14ac:dyDescent="0.25">
      <c r="C222" s="537"/>
      <c r="D222" s="3"/>
      <c r="E222" s="313" t="s">
        <v>603</v>
      </c>
      <c r="F222" s="43" t="s">
        <v>338</v>
      </c>
      <c r="G222" s="314" t="s">
        <v>598</v>
      </c>
      <c r="H222" s="853" t="s">
        <v>397</v>
      </c>
      <c r="I222" s="853"/>
      <c r="J222" s="313" t="s">
        <v>28</v>
      </c>
      <c r="K222" s="315">
        <v>0.21360000000000001</v>
      </c>
      <c r="L222" s="316">
        <v>41.79</v>
      </c>
      <c r="M222" s="536">
        <f t="shared" ref="M222:M226" si="17">K222*L222</f>
        <v>8.9263440000000003</v>
      </c>
    </row>
    <row r="223" spans="3:13" ht="31.5" x14ac:dyDescent="0.25">
      <c r="C223" s="537"/>
      <c r="D223" s="3"/>
      <c r="E223" s="313" t="s">
        <v>604</v>
      </c>
      <c r="F223" s="43" t="s">
        <v>338</v>
      </c>
      <c r="G223" s="314" t="s">
        <v>613</v>
      </c>
      <c r="H223" s="853" t="s">
        <v>195</v>
      </c>
      <c r="I223" s="853"/>
      <c r="J223" s="313" t="s">
        <v>45</v>
      </c>
      <c r="K223" s="315">
        <v>0.96</v>
      </c>
      <c r="L223" s="316">
        <v>388.91</v>
      </c>
      <c r="M223" s="536">
        <f t="shared" si="17"/>
        <v>373.35360000000003</v>
      </c>
    </row>
    <row r="224" spans="3:13" ht="31.5" x14ac:dyDescent="0.25">
      <c r="C224" s="537"/>
      <c r="D224" s="3"/>
      <c r="E224" s="313" t="s">
        <v>606</v>
      </c>
      <c r="F224" s="43" t="s">
        <v>338</v>
      </c>
      <c r="G224" s="314" t="s">
        <v>607</v>
      </c>
      <c r="H224" s="853" t="s">
        <v>195</v>
      </c>
      <c r="I224" s="853"/>
      <c r="J224" s="313" t="s">
        <v>166</v>
      </c>
      <c r="K224" s="315">
        <v>0.59</v>
      </c>
      <c r="L224" s="316">
        <v>87.78</v>
      </c>
      <c r="M224" s="536">
        <f t="shared" si="17"/>
        <v>51.790199999999999</v>
      </c>
    </row>
    <row r="225" spans="3:13" ht="15.75" x14ac:dyDescent="0.25">
      <c r="C225" s="537"/>
      <c r="D225" s="3"/>
      <c r="E225" s="313" t="s">
        <v>608</v>
      </c>
      <c r="F225" s="43" t="s">
        <v>338</v>
      </c>
      <c r="G225" s="314" t="s">
        <v>609</v>
      </c>
      <c r="H225" s="853" t="s">
        <v>610</v>
      </c>
      <c r="I225" s="853"/>
      <c r="J225" s="313" t="s">
        <v>48</v>
      </c>
      <c r="K225" s="315">
        <v>0.25</v>
      </c>
      <c r="L225" s="316">
        <v>17.940000000000001</v>
      </c>
      <c r="M225" s="536">
        <f t="shared" si="17"/>
        <v>4.4850000000000003</v>
      </c>
    </row>
    <row r="226" spans="3:13" ht="15.75" x14ac:dyDescent="0.25">
      <c r="C226" s="537"/>
      <c r="D226" s="3"/>
      <c r="E226" s="313" t="s">
        <v>18</v>
      </c>
      <c r="F226" s="43" t="s">
        <v>338</v>
      </c>
      <c r="G226" s="314" t="s">
        <v>17</v>
      </c>
      <c r="H226" s="853" t="s">
        <v>610</v>
      </c>
      <c r="I226" s="853"/>
      <c r="J226" s="313" t="s">
        <v>48</v>
      </c>
      <c r="K226" s="315">
        <v>0.42</v>
      </c>
      <c r="L226" s="316">
        <v>10.59</v>
      </c>
      <c r="M226" s="536">
        <f t="shared" si="17"/>
        <v>4.4478</v>
      </c>
    </row>
    <row r="227" spans="3:13" ht="15.75" x14ac:dyDescent="0.25">
      <c r="C227" s="281"/>
      <c r="D227" s="11"/>
      <c r="E227" s="11"/>
      <c r="F227" s="11"/>
      <c r="G227" s="11"/>
      <c r="H227" s="418" t="s">
        <v>262</v>
      </c>
      <c r="I227" s="5">
        <f>M15*M220</f>
        <v>115.80675686400001</v>
      </c>
      <c r="J227" s="847" t="s">
        <v>263</v>
      </c>
      <c r="K227" s="847"/>
      <c r="L227" s="854">
        <f>M220+I227</f>
        <v>568.176900864</v>
      </c>
      <c r="M227" s="849"/>
    </row>
    <row r="228" spans="3:13" ht="15.75" x14ac:dyDescent="0.25">
      <c r="C228" s="121"/>
      <c r="D228" s="4"/>
      <c r="E228" s="4"/>
      <c r="F228" s="4"/>
      <c r="G228" s="125"/>
      <c r="H228" s="418"/>
      <c r="I228" s="418"/>
      <c r="J228" s="418"/>
      <c r="K228" s="418"/>
      <c r="L228" s="310"/>
      <c r="M228" s="309"/>
    </row>
    <row r="229" spans="3:13" ht="15.75" x14ac:dyDescent="0.25">
      <c r="C229" s="103"/>
      <c r="D229" s="71" t="s">
        <v>233</v>
      </c>
      <c r="E229" s="71" t="s">
        <v>234</v>
      </c>
      <c r="F229" s="71" t="s">
        <v>235</v>
      </c>
      <c r="G229" s="86" t="s">
        <v>264</v>
      </c>
      <c r="H229" s="851" t="s">
        <v>237</v>
      </c>
      <c r="I229" s="851"/>
      <c r="J229" s="410" t="s">
        <v>238</v>
      </c>
      <c r="K229" s="410" t="s">
        <v>239</v>
      </c>
      <c r="L229" s="410" t="s">
        <v>240</v>
      </c>
      <c r="M229" s="74" t="s">
        <v>30</v>
      </c>
    </row>
    <row r="230" spans="3:13" ht="15.75" x14ac:dyDescent="0.25">
      <c r="C230" s="121" t="s">
        <v>241</v>
      </c>
      <c r="D230" s="4" t="s">
        <v>622</v>
      </c>
      <c r="E230" s="414">
        <v>804379</v>
      </c>
      <c r="F230" s="11"/>
      <c r="G230" s="325" t="s">
        <v>623</v>
      </c>
      <c r="H230" s="11"/>
      <c r="I230" s="11"/>
      <c r="J230" s="11"/>
      <c r="K230" s="326" t="s">
        <v>601</v>
      </c>
      <c r="L230" s="7">
        <v>731.63</v>
      </c>
      <c r="M230" s="538">
        <f>SUM(M231:M234)</f>
        <v>1299.1154020000001</v>
      </c>
    </row>
    <row r="231" spans="3:13" ht="31.5" x14ac:dyDescent="0.25">
      <c r="C231" s="537"/>
      <c r="D231" s="3"/>
      <c r="E231" s="313" t="s">
        <v>614</v>
      </c>
      <c r="F231" s="43" t="s">
        <v>338</v>
      </c>
      <c r="G231" s="314" t="s">
        <v>615</v>
      </c>
      <c r="H231" s="853" t="s">
        <v>195</v>
      </c>
      <c r="I231" s="853"/>
      <c r="J231" s="313" t="s">
        <v>436</v>
      </c>
      <c r="K231" s="315">
        <v>13.58</v>
      </c>
      <c r="L231" s="316">
        <v>8.42</v>
      </c>
      <c r="M231" s="536">
        <f>K231*L231</f>
        <v>114.3436</v>
      </c>
    </row>
    <row r="232" spans="3:13" ht="15.75" x14ac:dyDescent="0.25">
      <c r="C232" s="537"/>
      <c r="D232" s="3"/>
      <c r="E232" s="313" t="s">
        <v>616</v>
      </c>
      <c r="F232" s="43" t="s">
        <v>338</v>
      </c>
      <c r="G232" s="314" t="s">
        <v>617</v>
      </c>
      <c r="H232" s="853" t="s">
        <v>195</v>
      </c>
      <c r="I232" s="853"/>
      <c r="J232" s="313" t="s">
        <v>436</v>
      </c>
      <c r="K232" s="315">
        <v>2.5</v>
      </c>
      <c r="L232" s="316">
        <v>293.43</v>
      </c>
      <c r="M232" s="536">
        <f t="shared" ref="M232:M234" si="18">K232*L232</f>
        <v>733.57500000000005</v>
      </c>
    </row>
    <row r="233" spans="3:13" ht="47.25" x14ac:dyDescent="0.25">
      <c r="C233" s="537"/>
      <c r="D233" s="3"/>
      <c r="E233" s="313" t="s">
        <v>618</v>
      </c>
      <c r="F233" s="43" t="s">
        <v>338</v>
      </c>
      <c r="G233" s="314" t="s">
        <v>619</v>
      </c>
      <c r="H233" s="853" t="s">
        <v>195</v>
      </c>
      <c r="I233" s="853"/>
      <c r="J233" s="313" t="s">
        <v>620</v>
      </c>
      <c r="K233" s="315">
        <v>5.74</v>
      </c>
      <c r="L233" s="316">
        <v>73.63</v>
      </c>
      <c r="M233" s="536">
        <f t="shared" si="18"/>
        <v>422.63619999999997</v>
      </c>
    </row>
    <row r="234" spans="3:13" ht="31.5" x14ac:dyDescent="0.25">
      <c r="C234" s="537"/>
      <c r="D234" s="3"/>
      <c r="E234" s="313" t="s">
        <v>621</v>
      </c>
      <c r="F234" s="43" t="s">
        <v>338</v>
      </c>
      <c r="G234" s="314" t="s">
        <v>187</v>
      </c>
      <c r="H234" s="853" t="s">
        <v>195</v>
      </c>
      <c r="I234" s="853"/>
      <c r="J234" s="313" t="s">
        <v>436</v>
      </c>
      <c r="K234" s="315">
        <v>0.68179999999999996</v>
      </c>
      <c r="L234" s="316">
        <v>41.89</v>
      </c>
      <c r="M234" s="536">
        <f t="shared" si="18"/>
        <v>28.560601999999999</v>
      </c>
    </row>
    <row r="235" spans="3:13" ht="15.75" x14ac:dyDescent="0.25">
      <c r="C235" s="151"/>
      <c r="D235" s="54"/>
      <c r="E235" s="54"/>
      <c r="F235" s="54"/>
      <c r="G235" s="539"/>
      <c r="H235" s="418" t="s">
        <v>262</v>
      </c>
      <c r="I235" s="5" t="e">
        <f>#REF!*M230</f>
        <v>#REF!</v>
      </c>
      <c r="J235" s="847" t="s">
        <v>263</v>
      </c>
      <c r="K235" s="847"/>
      <c r="L235" s="854" t="e">
        <f>M230+I235</f>
        <v>#REF!</v>
      </c>
      <c r="M235" s="849"/>
    </row>
    <row r="236" spans="3:13" ht="15.75" x14ac:dyDescent="0.25">
      <c r="C236" s="121"/>
      <c r="D236" s="4"/>
      <c r="E236" s="4"/>
      <c r="F236" s="4"/>
      <c r="G236" s="125"/>
      <c r="H236" s="418"/>
      <c r="I236" s="418"/>
      <c r="J236" s="418"/>
      <c r="K236" s="418"/>
      <c r="L236" s="310"/>
      <c r="M236" s="309"/>
    </row>
    <row r="237" spans="3:13" ht="15.75" x14ac:dyDescent="0.25">
      <c r="C237" s="103"/>
      <c r="D237" s="71" t="s">
        <v>233</v>
      </c>
      <c r="E237" s="71" t="s">
        <v>234</v>
      </c>
      <c r="F237" s="71" t="s">
        <v>235</v>
      </c>
      <c r="G237" s="86" t="s">
        <v>264</v>
      </c>
      <c r="H237" s="851" t="s">
        <v>237</v>
      </c>
      <c r="I237" s="851"/>
      <c r="J237" s="410" t="s">
        <v>238</v>
      </c>
      <c r="K237" s="410" t="s">
        <v>239</v>
      </c>
      <c r="L237" s="410" t="s">
        <v>240</v>
      </c>
      <c r="M237" s="74" t="s">
        <v>30</v>
      </c>
    </row>
    <row r="238" spans="3:13" ht="15.75" x14ac:dyDescent="0.25">
      <c r="C238" s="121" t="s">
        <v>241</v>
      </c>
      <c r="D238" s="4" t="s">
        <v>624</v>
      </c>
      <c r="E238" s="4">
        <v>804387</v>
      </c>
      <c r="F238" s="11"/>
      <c r="G238" s="338" t="s">
        <v>625</v>
      </c>
      <c r="H238" s="11"/>
      <c r="I238" s="11"/>
      <c r="J238" s="11"/>
      <c r="K238" s="326" t="s">
        <v>601</v>
      </c>
      <c r="L238" s="7">
        <v>1569.43</v>
      </c>
      <c r="M238" s="187">
        <f>SUM(M239:M242)</f>
        <v>924.6705199999999</v>
      </c>
    </row>
    <row r="239" spans="3:13" ht="31.5" x14ac:dyDescent="0.25">
      <c r="C239" s="537"/>
      <c r="D239" s="3"/>
      <c r="E239" s="313" t="s">
        <v>614</v>
      </c>
      <c r="F239" s="43" t="s">
        <v>338</v>
      </c>
      <c r="G239" s="314" t="s">
        <v>615</v>
      </c>
      <c r="H239" s="853" t="s">
        <v>195</v>
      </c>
      <c r="I239" s="853"/>
      <c r="J239" s="313" t="s">
        <v>436</v>
      </c>
      <c r="K239" s="315">
        <v>9.56</v>
      </c>
      <c r="L239" s="316">
        <v>8.42</v>
      </c>
      <c r="M239" s="536">
        <f>K239*L239</f>
        <v>80.495199999999997</v>
      </c>
    </row>
    <row r="240" spans="3:13" ht="15.75" x14ac:dyDescent="0.25">
      <c r="C240" s="537"/>
      <c r="D240" s="3"/>
      <c r="E240" s="313" t="s">
        <v>616</v>
      </c>
      <c r="F240" s="43" t="s">
        <v>338</v>
      </c>
      <c r="G240" s="314" t="s">
        <v>617</v>
      </c>
      <c r="H240" s="853" t="s">
        <v>195</v>
      </c>
      <c r="I240" s="853"/>
      <c r="J240" s="313" t="s">
        <v>436</v>
      </c>
      <c r="K240" s="315">
        <v>2.23</v>
      </c>
      <c r="L240" s="316">
        <v>293.43</v>
      </c>
      <c r="M240" s="536">
        <f t="shared" ref="M240:M242" si="19">K240*L240</f>
        <v>654.34889999999996</v>
      </c>
    </row>
    <row r="241" spans="3:13" ht="47.25" x14ac:dyDescent="0.25">
      <c r="C241" s="537"/>
      <c r="D241" s="3"/>
      <c r="E241" s="313" t="s">
        <v>618</v>
      </c>
      <c r="F241" s="43" t="s">
        <v>338</v>
      </c>
      <c r="G241" s="314" t="s">
        <v>619</v>
      </c>
      <c r="H241" s="853" t="s">
        <v>195</v>
      </c>
      <c r="I241" s="853"/>
      <c r="J241" s="313" t="s">
        <v>620</v>
      </c>
      <c r="K241" s="315">
        <v>2.214</v>
      </c>
      <c r="L241" s="316">
        <v>73.63</v>
      </c>
      <c r="M241" s="536">
        <f t="shared" si="19"/>
        <v>163.01682</v>
      </c>
    </row>
    <row r="242" spans="3:13" ht="31.5" x14ac:dyDescent="0.25">
      <c r="C242" s="537"/>
      <c r="D242" s="3"/>
      <c r="E242" s="313" t="s">
        <v>621</v>
      </c>
      <c r="F242" s="43" t="s">
        <v>338</v>
      </c>
      <c r="G242" s="314" t="s">
        <v>187</v>
      </c>
      <c r="H242" s="853" t="s">
        <v>195</v>
      </c>
      <c r="I242" s="853"/>
      <c r="J242" s="313" t="s">
        <v>436</v>
      </c>
      <c r="K242" s="315">
        <v>0.64</v>
      </c>
      <c r="L242" s="316">
        <v>41.89</v>
      </c>
      <c r="M242" s="536">
        <f t="shared" si="19"/>
        <v>26.8096</v>
      </c>
    </row>
    <row r="243" spans="3:13" ht="15.75" x14ac:dyDescent="0.25">
      <c r="C243" s="151"/>
      <c r="D243" s="54"/>
      <c r="E243" s="54"/>
      <c r="F243" s="54"/>
      <c r="G243" s="539"/>
      <c r="H243" s="418" t="s">
        <v>262</v>
      </c>
      <c r="I243" s="5">
        <f>M15*M238</f>
        <v>236.71565311999998</v>
      </c>
      <c r="J243" s="847" t="s">
        <v>263</v>
      </c>
      <c r="K243" s="847"/>
      <c r="L243" s="854">
        <f>M238+I243</f>
        <v>1161.38617312</v>
      </c>
      <c r="M243" s="849"/>
    </row>
    <row r="244" spans="3:13" ht="15.75" x14ac:dyDescent="0.25">
      <c r="C244" s="121"/>
      <c r="D244" s="4"/>
      <c r="E244" s="4"/>
      <c r="F244" s="4"/>
      <c r="G244" s="125"/>
      <c r="H244" s="418"/>
      <c r="I244" s="418"/>
      <c r="J244" s="418"/>
      <c r="K244" s="418"/>
      <c r="L244" s="310"/>
      <c r="M244" s="309"/>
    </row>
    <row r="245" spans="3:13" ht="15.75" x14ac:dyDescent="0.25">
      <c r="C245" s="103"/>
      <c r="D245" s="71" t="s">
        <v>233</v>
      </c>
      <c r="E245" s="71" t="s">
        <v>234</v>
      </c>
      <c r="F245" s="71" t="s">
        <v>235</v>
      </c>
      <c r="G245" s="86" t="s">
        <v>264</v>
      </c>
      <c r="H245" s="851" t="s">
        <v>237</v>
      </c>
      <c r="I245" s="851"/>
      <c r="J245" s="410" t="s">
        <v>238</v>
      </c>
      <c r="K245" s="410" t="s">
        <v>239</v>
      </c>
      <c r="L245" s="410" t="s">
        <v>240</v>
      </c>
      <c r="M245" s="74" t="s">
        <v>30</v>
      </c>
    </row>
    <row r="246" spans="3:13" ht="15.75" x14ac:dyDescent="0.25">
      <c r="C246" s="537" t="s">
        <v>241</v>
      </c>
      <c r="D246" s="414" t="s">
        <v>626</v>
      </c>
      <c r="E246" s="4" t="s">
        <v>627</v>
      </c>
      <c r="F246" s="3" t="s">
        <v>243</v>
      </c>
      <c r="G246" s="327" t="s">
        <v>628</v>
      </c>
      <c r="H246" s="11"/>
      <c r="I246" s="11"/>
      <c r="J246" s="11"/>
      <c r="K246" s="414">
        <v>1</v>
      </c>
      <c r="L246" s="190">
        <f>M246</f>
        <v>402.54296849999997</v>
      </c>
      <c r="M246" s="540">
        <v>402.54296849999997</v>
      </c>
    </row>
    <row r="247" spans="3:13" ht="18.75" x14ac:dyDescent="0.25">
      <c r="C247" s="281"/>
      <c r="D247" s="11"/>
      <c r="E247" s="313" t="s">
        <v>629</v>
      </c>
      <c r="F247" s="3" t="s">
        <v>243</v>
      </c>
      <c r="G247" s="314" t="s">
        <v>630</v>
      </c>
      <c r="H247" s="699" t="s">
        <v>631</v>
      </c>
      <c r="I247" s="699"/>
      <c r="J247" s="328" t="s">
        <v>166</v>
      </c>
      <c r="K247" s="315">
        <v>4</v>
      </c>
      <c r="L247" s="414">
        <v>38.49</v>
      </c>
      <c r="M247" s="536">
        <v>153.96</v>
      </c>
    </row>
    <row r="248" spans="3:13" ht="18.75" x14ac:dyDescent="0.25">
      <c r="C248" s="281"/>
      <c r="D248" s="11"/>
      <c r="E248" s="313" t="s">
        <v>632</v>
      </c>
      <c r="F248" s="3" t="s">
        <v>243</v>
      </c>
      <c r="G248" s="314" t="s">
        <v>633</v>
      </c>
      <c r="H248" s="699" t="s">
        <v>631</v>
      </c>
      <c r="I248" s="699"/>
      <c r="J248" s="328" t="s">
        <v>166</v>
      </c>
      <c r="K248" s="315">
        <v>4</v>
      </c>
      <c r="L248" s="414">
        <v>25.95</v>
      </c>
      <c r="M248" s="536">
        <v>103.8</v>
      </c>
    </row>
    <row r="249" spans="3:13" ht="18.75" x14ac:dyDescent="0.25">
      <c r="C249" s="281"/>
      <c r="D249" s="11"/>
      <c r="E249" s="313" t="s">
        <v>634</v>
      </c>
      <c r="F249" s="3" t="s">
        <v>243</v>
      </c>
      <c r="G249" s="314" t="s">
        <v>635</v>
      </c>
      <c r="H249" s="699" t="s">
        <v>631</v>
      </c>
      <c r="I249" s="699"/>
      <c r="J249" s="328" t="s">
        <v>166</v>
      </c>
      <c r="K249" s="315">
        <v>2</v>
      </c>
      <c r="L249" s="414">
        <v>31.59</v>
      </c>
      <c r="M249" s="536">
        <v>63.18</v>
      </c>
    </row>
    <row r="250" spans="3:13" ht="31.5" x14ac:dyDescent="0.25">
      <c r="C250" s="281"/>
      <c r="D250" s="11"/>
      <c r="E250" s="313" t="s">
        <v>636</v>
      </c>
      <c r="F250" s="3" t="s">
        <v>243</v>
      </c>
      <c r="G250" s="314" t="s">
        <v>637</v>
      </c>
      <c r="H250" s="699" t="s">
        <v>631</v>
      </c>
      <c r="I250" s="699"/>
      <c r="J250" s="328" t="s">
        <v>436</v>
      </c>
      <c r="K250" s="315">
        <v>0.10215</v>
      </c>
      <c r="L250" s="414">
        <v>378.59</v>
      </c>
      <c r="M250" s="536">
        <v>38.672968499999996</v>
      </c>
    </row>
    <row r="251" spans="3:13" ht="18.75" x14ac:dyDescent="0.25">
      <c r="C251" s="281"/>
      <c r="D251" s="11"/>
      <c r="E251" s="313" t="s">
        <v>638</v>
      </c>
      <c r="F251" s="3" t="s">
        <v>243</v>
      </c>
      <c r="G251" s="314" t="s">
        <v>434</v>
      </c>
      <c r="H251" s="699" t="s">
        <v>610</v>
      </c>
      <c r="I251" s="699"/>
      <c r="J251" s="328" t="s">
        <v>48</v>
      </c>
      <c r="K251" s="315">
        <v>2</v>
      </c>
      <c r="L251" s="414">
        <v>16.170000000000002</v>
      </c>
      <c r="M251" s="536">
        <v>32.340000000000003</v>
      </c>
    </row>
    <row r="252" spans="3:13" ht="18.75" x14ac:dyDescent="0.25">
      <c r="C252" s="281"/>
      <c r="D252" s="11"/>
      <c r="E252" s="313" t="s">
        <v>18</v>
      </c>
      <c r="F252" s="3" t="s">
        <v>243</v>
      </c>
      <c r="G252" s="314" t="s">
        <v>17</v>
      </c>
      <c r="H252" s="699" t="s">
        <v>610</v>
      </c>
      <c r="I252" s="699"/>
      <c r="J252" s="328" t="s">
        <v>48</v>
      </c>
      <c r="K252" s="315">
        <v>1</v>
      </c>
      <c r="L252" s="316">
        <v>10.59</v>
      </c>
      <c r="M252" s="536">
        <v>10.59</v>
      </c>
    </row>
    <row r="253" spans="3:13" ht="15.75" x14ac:dyDescent="0.25">
      <c r="C253" s="151"/>
      <c r="D253" s="54"/>
      <c r="E253" s="54"/>
      <c r="F253" s="54"/>
      <c r="G253" s="539"/>
      <c r="H253" s="54"/>
      <c r="I253" s="54"/>
      <c r="J253" s="54"/>
      <c r="K253" s="317" t="s">
        <v>398</v>
      </c>
      <c r="L253" s="866">
        <v>503.17871062499995</v>
      </c>
      <c r="M253" s="867"/>
    </row>
    <row r="254" spans="3:13" ht="15.75" x14ac:dyDescent="0.25">
      <c r="C254" s="121"/>
      <c r="D254" s="4"/>
      <c r="E254" s="4"/>
      <c r="F254" s="4"/>
      <c r="G254" s="125"/>
      <c r="H254" s="418"/>
      <c r="I254" s="418"/>
      <c r="J254" s="418"/>
      <c r="K254" s="418"/>
      <c r="L254" s="310"/>
      <c r="M254" s="309"/>
    </row>
    <row r="255" spans="3:13" ht="15.75" x14ac:dyDescent="0.25">
      <c r="C255" s="121"/>
      <c r="D255" s="4"/>
      <c r="E255" s="4"/>
      <c r="F255" s="4"/>
      <c r="G255" s="125"/>
      <c r="H255" s="418"/>
      <c r="I255" s="418"/>
      <c r="J255" s="418"/>
      <c r="K255" s="418"/>
      <c r="L255" s="418"/>
      <c r="M255" s="311"/>
    </row>
    <row r="256" spans="3:13" ht="15.75" x14ac:dyDescent="0.25">
      <c r="C256" s="121"/>
      <c r="D256" s="4"/>
      <c r="E256" s="4"/>
      <c r="F256" s="4"/>
      <c r="G256" s="125"/>
      <c r="H256" s="418"/>
      <c r="I256" s="418"/>
      <c r="J256" s="418"/>
      <c r="K256" s="418"/>
      <c r="L256" s="418"/>
      <c r="M256" s="311"/>
    </row>
    <row r="257" spans="3:13" ht="15.75" x14ac:dyDescent="0.25">
      <c r="C257" s="103"/>
      <c r="D257" s="71" t="s">
        <v>233</v>
      </c>
      <c r="E257" s="71" t="s">
        <v>234</v>
      </c>
      <c r="F257" s="71" t="s">
        <v>235</v>
      </c>
      <c r="G257" s="86" t="s">
        <v>264</v>
      </c>
      <c r="H257" s="851" t="s">
        <v>237</v>
      </c>
      <c r="I257" s="851"/>
      <c r="J257" s="410" t="s">
        <v>238</v>
      </c>
      <c r="K257" s="410" t="s">
        <v>239</v>
      </c>
      <c r="L257" s="410" t="s">
        <v>240</v>
      </c>
      <c r="M257" s="74" t="s">
        <v>30</v>
      </c>
    </row>
    <row r="258" spans="3:13" ht="80.25" customHeight="1" x14ac:dyDescent="0.25">
      <c r="C258" s="121" t="s">
        <v>241</v>
      </c>
      <c r="D258" s="4" t="s">
        <v>639</v>
      </c>
      <c r="E258" s="4">
        <v>2003373</v>
      </c>
      <c r="F258" s="4" t="s">
        <v>338</v>
      </c>
      <c r="G258" s="339" t="s">
        <v>640</v>
      </c>
      <c r="H258" s="846" t="s">
        <v>641</v>
      </c>
      <c r="I258" s="846"/>
      <c r="J258" s="418" t="s">
        <v>45</v>
      </c>
      <c r="K258" s="418">
        <v>1</v>
      </c>
      <c r="L258" s="418" t="s">
        <v>642</v>
      </c>
      <c r="M258" s="309">
        <f>SUM(M259:M263)</f>
        <v>49.873311999999999</v>
      </c>
    </row>
    <row r="259" spans="3:13" ht="15.75" x14ac:dyDescent="0.25">
      <c r="C259" s="121" t="s">
        <v>246</v>
      </c>
      <c r="D259" s="4"/>
      <c r="E259" s="4" t="s">
        <v>247</v>
      </c>
      <c r="F259" s="4" t="s">
        <v>338</v>
      </c>
      <c r="G259" s="125" t="s">
        <v>17</v>
      </c>
      <c r="H259" s="846" t="s">
        <v>248</v>
      </c>
      <c r="I259" s="846"/>
      <c r="J259" s="418" t="s">
        <v>48</v>
      </c>
      <c r="K259" s="418" t="s">
        <v>643</v>
      </c>
      <c r="L259" s="418" t="s">
        <v>341</v>
      </c>
      <c r="M259" s="309">
        <f>K259*L259</f>
        <v>3.9347999999999996</v>
      </c>
    </row>
    <row r="260" spans="3:13" ht="15.75" x14ac:dyDescent="0.25">
      <c r="C260" s="121" t="s">
        <v>246</v>
      </c>
      <c r="D260" s="4"/>
      <c r="E260" s="4" t="s">
        <v>644</v>
      </c>
      <c r="F260" s="4" t="s">
        <v>338</v>
      </c>
      <c r="G260" s="125" t="s">
        <v>434</v>
      </c>
      <c r="H260" s="846" t="s">
        <v>248</v>
      </c>
      <c r="I260" s="846"/>
      <c r="J260" s="418" t="s">
        <v>48</v>
      </c>
      <c r="K260" s="418" t="s">
        <v>643</v>
      </c>
      <c r="L260" s="418" t="s">
        <v>645</v>
      </c>
      <c r="M260" s="309">
        <f t="shared" ref="M260:M263" si="20">K260*L260</f>
        <v>5.2883999999999993</v>
      </c>
    </row>
    <row r="261" spans="3:13" ht="15.75" x14ac:dyDescent="0.25">
      <c r="C261" s="121" t="s">
        <v>246</v>
      </c>
      <c r="D261" s="4"/>
      <c r="E261" s="4" t="s">
        <v>596</v>
      </c>
      <c r="F261" s="4" t="s">
        <v>338</v>
      </c>
      <c r="G261" s="125" t="s">
        <v>435</v>
      </c>
      <c r="H261" s="846" t="s">
        <v>248</v>
      </c>
      <c r="I261" s="846"/>
      <c r="J261" s="418" t="s">
        <v>11</v>
      </c>
      <c r="K261" s="418">
        <v>5.5399999999999998E-2</v>
      </c>
      <c r="L261" s="418" t="s">
        <v>646</v>
      </c>
      <c r="M261" s="309">
        <f t="shared" si="20"/>
        <v>18.956772000000001</v>
      </c>
    </row>
    <row r="262" spans="3:13" ht="31.5" x14ac:dyDescent="0.25">
      <c r="C262" s="121" t="s">
        <v>254</v>
      </c>
      <c r="D262" s="4"/>
      <c r="E262" s="4" t="s">
        <v>647</v>
      </c>
      <c r="F262" s="4" t="s">
        <v>338</v>
      </c>
      <c r="G262" s="125" t="s">
        <v>433</v>
      </c>
      <c r="H262" s="846" t="s">
        <v>256</v>
      </c>
      <c r="I262" s="846"/>
      <c r="J262" s="418" t="s">
        <v>45</v>
      </c>
      <c r="K262" s="418">
        <v>1.006</v>
      </c>
      <c r="L262" s="418" t="s">
        <v>648</v>
      </c>
      <c r="M262" s="309">
        <f t="shared" si="20"/>
        <v>21.518340000000002</v>
      </c>
    </row>
    <row r="263" spans="3:13" ht="15.75" x14ac:dyDescent="0.25">
      <c r="C263" s="121" t="s">
        <v>254</v>
      </c>
      <c r="D263" s="4"/>
      <c r="E263" s="4" t="s">
        <v>649</v>
      </c>
      <c r="F263" s="4" t="s">
        <v>338</v>
      </c>
      <c r="G263" s="125" t="s">
        <v>432</v>
      </c>
      <c r="H263" s="846" t="s">
        <v>256</v>
      </c>
      <c r="I263" s="846"/>
      <c r="J263" s="418" t="s">
        <v>11</v>
      </c>
      <c r="K263" s="418">
        <v>7.0000000000000001E-3</v>
      </c>
      <c r="L263" s="418" t="s">
        <v>650</v>
      </c>
      <c r="M263" s="309">
        <f t="shared" si="20"/>
        <v>0.17500000000000002</v>
      </c>
    </row>
    <row r="264" spans="3:13" ht="15.75" x14ac:dyDescent="0.25">
      <c r="C264" s="121"/>
      <c r="D264" s="4"/>
      <c r="E264" s="4"/>
      <c r="F264" s="4"/>
      <c r="G264" s="125"/>
      <c r="H264" s="418" t="s">
        <v>262</v>
      </c>
      <c r="I264" s="418" t="e">
        <f>#REF!*M258</f>
        <v>#REF!</v>
      </c>
      <c r="J264" s="847" t="s">
        <v>263</v>
      </c>
      <c r="K264" s="847"/>
      <c r="L264" s="848" t="e">
        <f>I264+M258</f>
        <v>#REF!</v>
      </c>
      <c r="M264" s="849"/>
    </row>
    <row r="265" spans="3:13" ht="15.75" x14ac:dyDescent="0.25">
      <c r="C265" s="121"/>
      <c r="D265" s="4"/>
      <c r="E265" s="4"/>
      <c r="F265" s="4"/>
      <c r="G265" s="125"/>
      <c r="H265" s="418"/>
      <c r="I265" s="418"/>
      <c r="J265" s="418"/>
      <c r="K265" s="418"/>
      <c r="L265" s="418"/>
      <c r="M265" s="311"/>
    </row>
    <row r="266" spans="3:13" ht="15.75" x14ac:dyDescent="0.25">
      <c r="C266" s="103"/>
      <c r="D266" s="71" t="s">
        <v>233</v>
      </c>
      <c r="E266" s="71" t="s">
        <v>234</v>
      </c>
      <c r="F266" s="71" t="s">
        <v>235</v>
      </c>
      <c r="G266" s="86" t="s">
        <v>264</v>
      </c>
      <c r="H266" s="851" t="s">
        <v>237</v>
      </c>
      <c r="I266" s="851"/>
      <c r="J266" s="410" t="s">
        <v>238</v>
      </c>
      <c r="K266" s="410" t="s">
        <v>239</v>
      </c>
      <c r="L266" s="410" t="s">
        <v>240</v>
      </c>
      <c r="M266" s="74" t="s">
        <v>30</v>
      </c>
    </row>
    <row r="267" spans="3:13" ht="31.5" x14ac:dyDescent="0.25">
      <c r="C267" s="121" t="s">
        <v>241</v>
      </c>
      <c r="D267" s="4" t="s">
        <v>651</v>
      </c>
      <c r="E267" s="4">
        <v>2003319</v>
      </c>
      <c r="F267" s="4" t="s">
        <v>338</v>
      </c>
      <c r="G267" s="122" t="s">
        <v>652</v>
      </c>
      <c r="H267" s="846" t="s">
        <v>641</v>
      </c>
      <c r="I267" s="846"/>
      <c r="J267" s="418" t="s">
        <v>45</v>
      </c>
      <c r="K267" s="418">
        <v>1</v>
      </c>
      <c r="L267" s="310">
        <f>M267</f>
        <v>66.659199999999998</v>
      </c>
      <c r="M267" s="309">
        <f>SUM(M268:M273)</f>
        <v>66.659199999999998</v>
      </c>
    </row>
    <row r="268" spans="3:13" ht="15.75" x14ac:dyDescent="0.25">
      <c r="C268" s="121" t="s">
        <v>246</v>
      </c>
      <c r="D268" s="4"/>
      <c r="E268" s="4" t="s">
        <v>247</v>
      </c>
      <c r="F268" s="4" t="s">
        <v>338</v>
      </c>
      <c r="G268" s="125" t="s">
        <v>17</v>
      </c>
      <c r="H268" s="846" t="s">
        <v>248</v>
      </c>
      <c r="I268" s="846"/>
      <c r="J268" s="418" t="s">
        <v>48</v>
      </c>
      <c r="K268" s="418" t="s">
        <v>653</v>
      </c>
      <c r="L268" s="418" t="s">
        <v>341</v>
      </c>
      <c r="M268" s="309">
        <f>K268*L268</f>
        <v>7.5526299999999988</v>
      </c>
    </row>
    <row r="269" spans="3:13" ht="15.75" x14ac:dyDescent="0.25">
      <c r="C269" s="121" t="s">
        <v>246</v>
      </c>
      <c r="D269" s="4"/>
      <c r="E269" s="4" t="s">
        <v>644</v>
      </c>
      <c r="F269" s="4" t="s">
        <v>338</v>
      </c>
      <c r="G269" s="125" t="s">
        <v>434</v>
      </c>
      <c r="H269" s="846" t="s">
        <v>248</v>
      </c>
      <c r="I269" s="846"/>
      <c r="J269" s="418" t="s">
        <v>48</v>
      </c>
      <c r="K269" s="418" t="s">
        <v>653</v>
      </c>
      <c r="L269" s="418" t="s">
        <v>645</v>
      </c>
      <c r="M269" s="309">
        <f t="shared" ref="M269:M273" si="21">K269*L269</f>
        <v>10.150789999999999</v>
      </c>
    </row>
    <row r="270" spans="3:13" ht="15.75" x14ac:dyDescent="0.25">
      <c r="C270" s="121" t="s">
        <v>254</v>
      </c>
      <c r="D270" s="4"/>
      <c r="E270" s="4" t="s">
        <v>654</v>
      </c>
      <c r="F270" s="4" t="s">
        <v>338</v>
      </c>
      <c r="G270" s="125" t="s">
        <v>438</v>
      </c>
      <c r="H270" s="846" t="s">
        <v>256</v>
      </c>
      <c r="I270" s="846"/>
      <c r="J270" s="418" t="s">
        <v>45</v>
      </c>
      <c r="K270" s="418">
        <v>8.4000000000000005E-2</v>
      </c>
      <c r="L270" s="418" t="s">
        <v>655</v>
      </c>
      <c r="M270" s="309">
        <f t="shared" si="21"/>
        <v>0.56447999999999998</v>
      </c>
    </row>
    <row r="271" spans="3:13" ht="15.75" x14ac:dyDescent="0.25">
      <c r="C271" s="121" t="s">
        <v>254</v>
      </c>
      <c r="D271" s="4"/>
      <c r="E271" s="4" t="s">
        <v>656</v>
      </c>
      <c r="F271" s="4" t="s">
        <v>338</v>
      </c>
      <c r="G271" s="125" t="s">
        <v>437</v>
      </c>
      <c r="H271" s="846" t="s">
        <v>256</v>
      </c>
      <c r="I271" s="846"/>
      <c r="J271" s="418" t="s">
        <v>45</v>
      </c>
      <c r="K271" s="418">
        <v>0.23</v>
      </c>
      <c r="L271" s="418" t="s">
        <v>657</v>
      </c>
      <c r="M271" s="309">
        <f t="shared" si="21"/>
        <v>0.2185</v>
      </c>
    </row>
    <row r="272" spans="3:13" ht="31.5" x14ac:dyDescent="0.25">
      <c r="C272" s="121" t="s">
        <v>254</v>
      </c>
      <c r="D272" s="4"/>
      <c r="E272" s="4" t="s">
        <v>658</v>
      </c>
      <c r="F272" s="4" t="s">
        <v>338</v>
      </c>
      <c r="G272" s="125" t="s">
        <v>439</v>
      </c>
      <c r="H272" s="846" t="s">
        <v>256</v>
      </c>
      <c r="I272" s="846"/>
      <c r="J272" s="418" t="s">
        <v>11</v>
      </c>
      <c r="K272" s="418">
        <v>0.22</v>
      </c>
      <c r="L272" s="418" t="s">
        <v>659</v>
      </c>
      <c r="M272" s="309">
        <f t="shared" si="21"/>
        <v>47.847799999999999</v>
      </c>
    </row>
    <row r="273" spans="3:13" ht="15.75" x14ac:dyDescent="0.25">
      <c r="C273" s="121" t="s">
        <v>254</v>
      </c>
      <c r="D273" s="4"/>
      <c r="E273" s="4" t="s">
        <v>649</v>
      </c>
      <c r="F273" s="4" t="s">
        <v>338</v>
      </c>
      <c r="G273" s="125" t="s">
        <v>432</v>
      </c>
      <c r="H273" s="846" t="s">
        <v>256</v>
      </c>
      <c r="I273" s="846"/>
      <c r="J273" s="418" t="s">
        <v>11</v>
      </c>
      <c r="K273" s="418">
        <v>1.2999999999999999E-2</v>
      </c>
      <c r="L273" s="418" t="s">
        <v>650</v>
      </c>
      <c r="M273" s="309">
        <f t="shared" si="21"/>
        <v>0.32500000000000001</v>
      </c>
    </row>
    <row r="274" spans="3:13" ht="15.75" x14ac:dyDescent="0.25">
      <c r="C274" s="121"/>
      <c r="D274" s="4"/>
      <c r="E274" s="4"/>
      <c r="F274" s="4"/>
      <c r="G274" s="125"/>
      <c r="H274" s="418" t="s">
        <v>262</v>
      </c>
      <c r="I274" s="124">
        <f>M15*M267</f>
        <v>17.0647552</v>
      </c>
      <c r="J274" s="847" t="s">
        <v>263</v>
      </c>
      <c r="K274" s="847"/>
      <c r="L274" s="848">
        <f>M267+I274</f>
        <v>83.723955200000006</v>
      </c>
      <c r="M274" s="849"/>
    </row>
    <row r="275" spans="3:13" ht="15.75" x14ac:dyDescent="0.25">
      <c r="C275" s="121"/>
      <c r="D275" s="4"/>
      <c r="E275" s="4"/>
      <c r="F275" s="4"/>
      <c r="G275" s="125"/>
      <c r="H275" s="418"/>
      <c r="I275" s="418"/>
      <c r="J275" s="418"/>
      <c r="K275" s="418"/>
      <c r="L275" s="418"/>
      <c r="M275" s="311"/>
    </row>
    <row r="276" spans="3:13" ht="15.75" x14ac:dyDescent="0.25">
      <c r="C276" s="103"/>
      <c r="D276" s="71" t="s">
        <v>233</v>
      </c>
      <c r="E276" s="71" t="s">
        <v>234</v>
      </c>
      <c r="F276" s="71" t="s">
        <v>235</v>
      </c>
      <c r="G276" s="329" t="s">
        <v>264</v>
      </c>
      <c r="H276" s="860" t="s">
        <v>237</v>
      </c>
      <c r="I276" s="860"/>
      <c r="J276" s="410" t="s">
        <v>238</v>
      </c>
      <c r="K276" s="410" t="s">
        <v>239</v>
      </c>
      <c r="L276" s="410" t="s">
        <v>240</v>
      </c>
      <c r="M276" s="74" t="s">
        <v>30</v>
      </c>
    </row>
    <row r="277" spans="3:13" ht="15.75" x14ac:dyDescent="0.25">
      <c r="C277" s="281" t="s">
        <v>241</v>
      </c>
      <c r="D277" s="414" t="s">
        <v>660</v>
      </c>
      <c r="E277" s="219">
        <v>4011352</v>
      </c>
      <c r="F277" s="11" t="s">
        <v>338</v>
      </c>
      <c r="G277" s="312" t="s">
        <v>661</v>
      </c>
      <c r="H277" s="11"/>
      <c r="I277" s="11"/>
      <c r="J277" s="11"/>
      <c r="K277" s="414">
        <v>1</v>
      </c>
      <c r="L277" s="190">
        <f>M277</f>
        <v>0.312998</v>
      </c>
      <c r="M277" s="540">
        <f>SUM(M278:M284)</f>
        <v>0.312998</v>
      </c>
    </row>
    <row r="278" spans="3:13" ht="31.5" x14ac:dyDescent="0.25">
      <c r="C278" s="121" t="s">
        <v>254</v>
      </c>
      <c r="D278" s="11"/>
      <c r="E278" s="313" t="s">
        <v>662</v>
      </c>
      <c r="F278" s="11" t="s">
        <v>338</v>
      </c>
      <c r="G278" s="314" t="s">
        <v>663</v>
      </c>
      <c r="H278" s="859" t="s">
        <v>397</v>
      </c>
      <c r="I278" s="859"/>
      <c r="J278" s="313" t="s">
        <v>27</v>
      </c>
      <c r="K278" s="330">
        <v>5.0000000000000001E-4</v>
      </c>
      <c r="L278" s="414">
        <v>147.46</v>
      </c>
      <c r="M278" s="536">
        <f>K278*L278</f>
        <v>7.3730000000000004E-2</v>
      </c>
    </row>
    <row r="279" spans="3:13" ht="31.5" x14ac:dyDescent="0.25">
      <c r="C279" s="121" t="s">
        <v>254</v>
      </c>
      <c r="D279" s="11"/>
      <c r="E279" s="313" t="s">
        <v>664</v>
      </c>
      <c r="F279" s="11" t="s">
        <v>338</v>
      </c>
      <c r="G279" s="314" t="s">
        <v>665</v>
      </c>
      <c r="H279" s="699" t="s">
        <v>29</v>
      </c>
      <c r="I279" s="699"/>
      <c r="J279" s="313" t="s">
        <v>47</v>
      </c>
      <c r="K279" s="330">
        <v>0.03</v>
      </c>
      <c r="L279" s="414">
        <v>3.27</v>
      </c>
      <c r="M279" s="536">
        <f t="shared" ref="M279:M284" si="22">K279*L279</f>
        <v>9.8099999999999993E-2</v>
      </c>
    </row>
    <row r="280" spans="3:13" ht="47.25" x14ac:dyDescent="0.25">
      <c r="C280" s="121" t="s">
        <v>254</v>
      </c>
      <c r="D280" s="11"/>
      <c r="E280" s="313" t="s">
        <v>666</v>
      </c>
      <c r="F280" s="11" t="s">
        <v>338</v>
      </c>
      <c r="G280" s="314" t="s">
        <v>667</v>
      </c>
      <c r="H280" s="859" t="s">
        <v>397</v>
      </c>
      <c r="I280" s="859"/>
      <c r="J280" s="313" t="s">
        <v>27</v>
      </c>
      <c r="K280" s="330">
        <v>5.0000000000000001E-4</v>
      </c>
      <c r="L280" s="414">
        <v>158.31</v>
      </c>
      <c r="M280" s="536">
        <f t="shared" si="22"/>
        <v>7.9155000000000003E-2</v>
      </c>
    </row>
    <row r="281" spans="3:13" ht="15.75" x14ac:dyDescent="0.25">
      <c r="C281" s="121" t="s">
        <v>246</v>
      </c>
      <c r="D281" s="11"/>
      <c r="E281" s="313" t="s">
        <v>18</v>
      </c>
      <c r="F281" s="11" t="s">
        <v>338</v>
      </c>
      <c r="G281" s="314" t="s">
        <v>17</v>
      </c>
      <c r="H281" s="699" t="s">
        <v>610</v>
      </c>
      <c r="I281" s="699"/>
      <c r="J281" s="313" t="s">
        <v>48</v>
      </c>
      <c r="K281" s="330">
        <v>2.0000000000000001E-4</v>
      </c>
      <c r="L281" s="316">
        <v>10.59</v>
      </c>
      <c r="M281" s="536">
        <f t="shared" si="22"/>
        <v>2.1180000000000001E-3</v>
      </c>
    </row>
    <row r="282" spans="3:13" ht="31.5" x14ac:dyDescent="0.25">
      <c r="C282" s="121" t="s">
        <v>246</v>
      </c>
      <c r="D282" s="11"/>
      <c r="E282" s="313" t="s">
        <v>668</v>
      </c>
      <c r="F282" s="11" t="s">
        <v>338</v>
      </c>
      <c r="G282" s="314" t="s">
        <v>669</v>
      </c>
      <c r="H282" s="859" t="s">
        <v>397</v>
      </c>
      <c r="I282" s="859"/>
      <c r="J282" s="313" t="s">
        <v>27</v>
      </c>
      <c r="K282" s="330">
        <v>6.9999999999999999E-4</v>
      </c>
      <c r="L282" s="414">
        <v>68.34</v>
      </c>
      <c r="M282" s="536">
        <f t="shared" si="22"/>
        <v>4.7837999999999999E-2</v>
      </c>
    </row>
    <row r="283" spans="3:13" ht="31.5" x14ac:dyDescent="0.25">
      <c r="C283" s="121" t="s">
        <v>246</v>
      </c>
      <c r="D283" s="11"/>
      <c r="E283" s="313" t="s">
        <v>670</v>
      </c>
      <c r="F283" s="11" t="s">
        <v>338</v>
      </c>
      <c r="G283" s="314" t="s">
        <v>671</v>
      </c>
      <c r="H283" s="859" t="s">
        <v>397</v>
      </c>
      <c r="I283" s="859"/>
      <c r="J283" s="313" t="s">
        <v>28</v>
      </c>
      <c r="K283" s="330">
        <v>4.0000000000000002E-4</v>
      </c>
      <c r="L283" s="414">
        <v>22.56</v>
      </c>
      <c r="M283" s="536">
        <f t="shared" si="22"/>
        <v>9.0240000000000008E-3</v>
      </c>
    </row>
    <row r="284" spans="3:13" ht="47.25" x14ac:dyDescent="0.25">
      <c r="C284" s="121" t="s">
        <v>246</v>
      </c>
      <c r="D284" s="11"/>
      <c r="E284" s="313" t="s">
        <v>672</v>
      </c>
      <c r="F284" s="11" t="s">
        <v>338</v>
      </c>
      <c r="G284" s="314" t="s">
        <v>673</v>
      </c>
      <c r="H284" s="859" t="s">
        <v>397</v>
      </c>
      <c r="I284" s="859"/>
      <c r="J284" s="313" t="s">
        <v>28</v>
      </c>
      <c r="K284" s="330">
        <v>1E-4</v>
      </c>
      <c r="L284" s="414">
        <v>30.33</v>
      </c>
      <c r="M284" s="536">
        <f t="shared" si="22"/>
        <v>3.0330000000000001E-3</v>
      </c>
    </row>
    <row r="285" spans="3:13" ht="15.75" x14ac:dyDescent="0.25">
      <c r="C285" s="151"/>
      <c r="D285" s="54"/>
      <c r="E285" s="54"/>
      <c r="F285" s="54"/>
      <c r="G285" s="539"/>
      <c r="H285" s="418" t="s">
        <v>262</v>
      </c>
      <c r="I285" s="124">
        <f>M15*M277</f>
        <v>8.0127487999999997E-2</v>
      </c>
      <c r="J285" s="847" t="s">
        <v>263</v>
      </c>
      <c r="K285" s="847"/>
      <c r="L285" s="848">
        <f>M277+I285</f>
        <v>0.39312548800000002</v>
      </c>
      <c r="M285" s="849"/>
    </row>
    <row r="286" spans="3:13" ht="15.75" x14ac:dyDescent="0.25">
      <c r="C286" s="331"/>
      <c r="D286" s="418"/>
      <c r="E286" s="418"/>
      <c r="F286" s="418"/>
      <c r="G286" s="125"/>
      <c r="H286" s="846"/>
      <c r="I286" s="846"/>
      <c r="J286" s="418"/>
      <c r="K286" s="418"/>
      <c r="L286" s="418"/>
      <c r="M286" s="309"/>
    </row>
    <row r="287" spans="3:13" ht="15.75" x14ac:dyDescent="0.25">
      <c r="C287" s="103"/>
      <c r="D287" s="71" t="s">
        <v>233</v>
      </c>
      <c r="E287" s="71" t="s">
        <v>234</v>
      </c>
      <c r="F287" s="71" t="s">
        <v>235</v>
      </c>
      <c r="G287" s="329" t="s">
        <v>264</v>
      </c>
      <c r="H287" s="860" t="s">
        <v>237</v>
      </c>
      <c r="I287" s="860"/>
      <c r="J287" s="410" t="s">
        <v>238</v>
      </c>
      <c r="K287" s="410" t="s">
        <v>239</v>
      </c>
      <c r="L287" s="410" t="s">
        <v>240</v>
      </c>
      <c r="M287" s="74" t="s">
        <v>30</v>
      </c>
    </row>
    <row r="288" spans="3:13" ht="15.75" x14ac:dyDescent="0.25">
      <c r="C288" s="281" t="s">
        <v>241</v>
      </c>
      <c r="D288" s="54" t="s">
        <v>674</v>
      </c>
      <c r="E288" s="414">
        <v>4011353</v>
      </c>
      <c r="F288" s="54"/>
      <c r="G288" s="312" t="s">
        <v>675</v>
      </c>
      <c r="H288" s="11"/>
      <c r="I288" s="11"/>
      <c r="J288" s="11"/>
      <c r="K288" s="415">
        <v>1</v>
      </c>
      <c r="L288" s="332">
        <f>M288</f>
        <v>0.20751919999999999</v>
      </c>
      <c r="M288" s="540">
        <f>SUM(M289:M293)</f>
        <v>0.20751919999999999</v>
      </c>
    </row>
    <row r="289" spans="3:13" ht="31.5" x14ac:dyDescent="0.25">
      <c r="C289" s="281"/>
      <c r="D289" s="11"/>
      <c r="E289" s="313" t="s">
        <v>676</v>
      </c>
      <c r="F289" s="414" t="s">
        <v>338</v>
      </c>
      <c r="G289" s="314" t="s">
        <v>677</v>
      </c>
      <c r="H289" s="859" t="s">
        <v>29</v>
      </c>
      <c r="I289" s="859"/>
      <c r="J289" s="313" t="s">
        <v>47</v>
      </c>
      <c r="K289" s="330">
        <v>0.01</v>
      </c>
      <c r="L289" s="415">
        <v>1.54</v>
      </c>
      <c r="M289" s="541">
        <f>K289*L289</f>
        <v>1.54E-2</v>
      </c>
    </row>
    <row r="290" spans="3:13" ht="47.25" x14ac:dyDescent="0.25">
      <c r="C290" s="281"/>
      <c r="D290" s="11"/>
      <c r="E290" s="313" t="s">
        <v>666</v>
      </c>
      <c r="F290" s="414" t="s">
        <v>338</v>
      </c>
      <c r="G290" s="314" t="s">
        <v>667</v>
      </c>
      <c r="H290" s="859" t="s">
        <v>397</v>
      </c>
      <c r="I290" s="859"/>
      <c r="J290" s="313" t="s">
        <v>27</v>
      </c>
      <c r="K290" s="330">
        <v>8.1999999999999998E-4</v>
      </c>
      <c r="L290" s="415">
        <v>158.31</v>
      </c>
      <c r="M290" s="541">
        <f t="shared" ref="M290:M293" si="23">K290*L290</f>
        <v>0.12981419999999999</v>
      </c>
    </row>
    <row r="291" spans="3:13" ht="15.75" x14ac:dyDescent="0.25">
      <c r="C291" s="281"/>
      <c r="D291" s="11"/>
      <c r="E291" s="313" t="s">
        <v>18</v>
      </c>
      <c r="F291" s="414" t="s">
        <v>338</v>
      </c>
      <c r="G291" s="314" t="s">
        <v>17</v>
      </c>
      <c r="H291" s="699" t="s">
        <v>610</v>
      </c>
      <c r="I291" s="699"/>
      <c r="J291" s="313" t="s">
        <v>48</v>
      </c>
      <c r="K291" s="330">
        <v>5.9999999999999995E-4</v>
      </c>
      <c r="L291" s="333">
        <v>10.59</v>
      </c>
      <c r="M291" s="541">
        <f t="shared" si="23"/>
        <v>6.3539999999999994E-3</v>
      </c>
    </row>
    <row r="292" spans="3:13" ht="31.5" x14ac:dyDescent="0.25">
      <c r="C292" s="281"/>
      <c r="D292" s="11"/>
      <c r="E292" s="313" t="s">
        <v>678</v>
      </c>
      <c r="F292" s="334" t="s">
        <v>338</v>
      </c>
      <c r="G292" s="314" t="s">
        <v>679</v>
      </c>
      <c r="H292" s="859" t="s">
        <v>397</v>
      </c>
      <c r="I292" s="859"/>
      <c r="J292" s="313" t="s">
        <v>27</v>
      </c>
      <c r="K292" s="330">
        <v>2.9999999999999997E-4</v>
      </c>
      <c r="L292" s="415">
        <v>94.57</v>
      </c>
      <c r="M292" s="541">
        <f t="shared" si="23"/>
        <v>2.8370999999999997E-2</v>
      </c>
    </row>
    <row r="293" spans="3:13" ht="31.5" x14ac:dyDescent="0.25">
      <c r="C293" s="281"/>
      <c r="D293" s="11"/>
      <c r="E293" s="313" t="s">
        <v>680</v>
      </c>
      <c r="F293" s="334" t="s">
        <v>338</v>
      </c>
      <c r="G293" s="314" t="s">
        <v>681</v>
      </c>
      <c r="H293" s="859" t="s">
        <v>397</v>
      </c>
      <c r="I293" s="859"/>
      <c r="J293" s="313" t="s">
        <v>28</v>
      </c>
      <c r="K293" s="330">
        <v>1E-3</v>
      </c>
      <c r="L293" s="415">
        <v>27.58</v>
      </c>
      <c r="M293" s="541">
        <f t="shared" si="23"/>
        <v>2.758E-2</v>
      </c>
    </row>
    <row r="294" spans="3:13" ht="15.75" x14ac:dyDescent="0.25">
      <c r="C294" s="151"/>
      <c r="D294" s="54"/>
      <c r="E294" s="54"/>
      <c r="F294" s="54"/>
      <c r="G294" s="539"/>
      <c r="H294" s="418" t="s">
        <v>262</v>
      </c>
      <c r="I294" s="124">
        <f>M15*M288</f>
        <v>5.3124915199999997E-2</v>
      </c>
      <c r="J294" s="847" t="s">
        <v>263</v>
      </c>
      <c r="K294" s="847"/>
      <c r="L294" s="848">
        <f>M288+I294</f>
        <v>0.26064411519999997</v>
      </c>
      <c r="M294" s="849"/>
    </row>
    <row r="295" spans="3:13" ht="15.75" x14ac:dyDescent="0.25">
      <c r="C295" s="331"/>
      <c r="D295" s="418"/>
      <c r="E295" s="418"/>
      <c r="F295" s="418"/>
      <c r="G295" s="125"/>
      <c r="H295" s="846"/>
      <c r="I295" s="846"/>
      <c r="J295" s="418"/>
      <c r="K295" s="418"/>
      <c r="L295" s="418"/>
      <c r="M295" s="309"/>
    </row>
    <row r="296" spans="3:13" ht="15.75" x14ac:dyDescent="0.25">
      <c r="C296" s="335"/>
      <c r="D296" s="410" t="s">
        <v>233</v>
      </c>
      <c r="E296" s="410" t="s">
        <v>234</v>
      </c>
      <c r="F296" s="410" t="s">
        <v>235</v>
      </c>
      <c r="G296" s="410" t="s">
        <v>264</v>
      </c>
      <c r="H296" s="851" t="s">
        <v>237</v>
      </c>
      <c r="I296" s="851"/>
      <c r="J296" s="410" t="s">
        <v>238</v>
      </c>
      <c r="K296" s="410" t="s">
        <v>239</v>
      </c>
      <c r="L296" s="410" t="s">
        <v>240</v>
      </c>
      <c r="M296" s="74" t="s">
        <v>30</v>
      </c>
    </row>
    <row r="297" spans="3:13" ht="31.5" x14ac:dyDescent="0.25">
      <c r="C297" s="121" t="s">
        <v>241</v>
      </c>
      <c r="D297" s="4" t="s">
        <v>682</v>
      </c>
      <c r="E297" s="4">
        <v>5914389</v>
      </c>
      <c r="F297" s="4" t="s">
        <v>338</v>
      </c>
      <c r="G297" s="336" t="s">
        <v>683</v>
      </c>
      <c r="H297" s="846" t="s">
        <v>353</v>
      </c>
      <c r="I297" s="846"/>
      <c r="J297" s="418" t="s">
        <v>354</v>
      </c>
      <c r="K297" s="418">
        <v>1</v>
      </c>
      <c r="L297" s="310">
        <f>M297</f>
        <v>0.49193999999999993</v>
      </c>
      <c r="M297" s="309">
        <v>0.49193999999999993</v>
      </c>
    </row>
    <row r="298" spans="3:13" ht="47.25" x14ac:dyDescent="0.25">
      <c r="C298" s="121" t="s">
        <v>246</v>
      </c>
      <c r="D298" s="4"/>
      <c r="E298" s="4" t="s">
        <v>355</v>
      </c>
      <c r="F298" s="4" t="s">
        <v>338</v>
      </c>
      <c r="G298" s="125" t="s">
        <v>25</v>
      </c>
      <c r="H298" s="846" t="s">
        <v>337</v>
      </c>
      <c r="I298" s="846"/>
      <c r="J298" s="418" t="s">
        <v>27</v>
      </c>
      <c r="K298" s="418">
        <v>4.3E-3</v>
      </c>
      <c r="L298" s="418">
        <v>112.32</v>
      </c>
      <c r="M298" s="536">
        <v>0.48297599999999996</v>
      </c>
    </row>
    <row r="299" spans="3:13" ht="47.25" x14ac:dyDescent="0.25">
      <c r="C299" s="121" t="s">
        <v>246</v>
      </c>
      <c r="D299" s="4"/>
      <c r="E299" s="4" t="s">
        <v>356</v>
      </c>
      <c r="F299" s="4" t="s">
        <v>338</v>
      </c>
      <c r="G299" s="125" t="s">
        <v>26</v>
      </c>
      <c r="H299" s="846" t="s">
        <v>337</v>
      </c>
      <c r="I299" s="846"/>
      <c r="J299" s="418" t="s">
        <v>28</v>
      </c>
      <c r="K299" s="418">
        <v>7.2000000000000005E-4</v>
      </c>
      <c r="L299" s="418">
        <v>12.45</v>
      </c>
      <c r="M299" s="536">
        <v>8.9639999999999997E-3</v>
      </c>
    </row>
    <row r="300" spans="3:13" ht="15.75" x14ac:dyDescent="0.25">
      <c r="C300" s="121"/>
      <c r="D300" s="4"/>
      <c r="E300" s="4"/>
      <c r="F300" s="4"/>
      <c r="G300" s="125"/>
      <c r="H300" s="418" t="s">
        <v>262</v>
      </c>
      <c r="I300" s="124">
        <v>8.6698874999999995E-2</v>
      </c>
      <c r="J300" s="862" t="s">
        <v>398</v>
      </c>
      <c r="K300" s="863"/>
      <c r="L300" s="864">
        <v>0.61492499999999994</v>
      </c>
      <c r="M300" s="865"/>
    </row>
    <row r="301" spans="3:13" ht="15.75" x14ac:dyDescent="0.25">
      <c r="C301" s="331"/>
      <c r="D301" s="418"/>
      <c r="E301" s="418"/>
      <c r="F301" s="418"/>
      <c r="G301" s="125"/>
      <c r="H301" s="846"/>
      <c r="I301" s="846"/>
      <c r="J301" s="418"/>
      <c r="K301" s="418"/>
      <c r="L301" s="418"/>
      <c r="M301" s="309"/>
    </row>
    <row r="302" spans="3:13" ht="15.75" x14ac:dyDescent="0.25">
      <c r="C302" s="331"/>
      <c r="D302" s="418"/>
      <c r="E302" s="418"/>
      <c r="F302" s="418"/>
      <c r="G302" s="125"/>
      <c r="H302" s="846"/>
      <c r="I302" s="846"/>
      <c r="J302" s="418"/>
      <c r="K302" s="418"/>
      <c r="L302" s="418"/>
      <c r="M302" s="309"/>
    </row>
    <row r="303" spans="3:13" ht="15.75" x14ac:dyDescent="0.25">
      <c r="C303" s="331"/>
      <c r="D303" s="418"/>
      <c r="E303" s="418"/>
      <c r="F303" s="418"/>
      <c r="G303" s="125"/>
      <c r="H303" s="846"/>
      <c r="I303" s="846"/>
      <c r="J303" s="418"/>
      <c r="K303" s="418"/>
      <c r="L303" s="418"/>
      <c r="M303" s="309"/>
    </row>
    <row r="304" spans="3:13" ht="16.5" thickBot="1" x14ac:dyDescent="0.3">
      <c r="C304" s="542"/>
      <c r="D304" s="543"/>
      <c r="E304" s="543"/>
      <c r="F304" s="543"/>
      <c r="G304" s="544"/>
      <c r="H304" s="861"/>
      <c r="I304" s="861"/>
      <c r="J304" s="543"/>
      <c r="K304" s="543"/>
      <c r="L304" s="543"/>
      <c r="M304" s="545"/>
    </row>
  </sheetData>
  <mergeCells count="204">
    <mergeCell ref="H28:I28"/>
    <mergeCell ref="H29:I29"/>
    <mergeCell ref="H30:I30"/>
    <mergeCell ref="H31:I31"/>
    <mergeCell ref="H32:I32"/>
    <mergeCell ref="H33:I33"/>
    <mergeCell ref="J46:K46"/>
    <mergeCell ref="L46:M46"/>
    <mergeCell ref="C26:M26"/>
    <mergeCell ref="C27:M27"/>
    <mergeCell ref="H34:I34"/>
    <mergeCell ref="H35:I35"/>
    <mergeCell ref="H36:I36"/>
    <mergeCell ref="H40:I40"/>
    <mergeCell ref="H52:I52"/>
    <mergeCell ref="H42:I42"/>
    <mergeCell ref="H43:I43"/>
    <mergeCell ref="H44:I44"/>
    <mergeCell ref="H41:I41"/>
    <mergeCell ref="J37:K37"/>
    <mergeCell ref="L37:M37"/>
    <mergeCell ref="H50:I50"/>
    <mergeCell ref="H39:I39"/>
    <mergeCell ref="H75:I75"/>
    <mergeCell ref="H76:I76"/>
    <mergeCell ref="K84:L84"/>
    <mergeCell ref="H86:I86"/>
    <mergeCell ref="K87:L87"/>
    <mergeCell ref="J58:K58"/>
    <mergeCell ref="L58:M58"/>
    <mergeCell ref="J53:K53"/>
    <mergeCell ref="L53:M53"/>
    <mergeCell ref="H55:I55"/>
    <mergeCell ref="H56:I56"/>
    <mergeCell ref="H57:I57"/>
    <mergeCell ref="L64:M64"/>
    <mergeCell ref="J64:K64"/>
    <mergeCell ref="H60:I60"/>
    <mergeCell ref="H61:I61"/>
    <mergeCell ref="H186:I186"/>
    <mergeCell ref="H187:I187"/>
    <mergeCell ref="H189:I189"/>
    <mergeCell ref="H183:I183"/>
    <mergeCell ref="J184:K184"/>
    <mergeCell ref="L184:M184"/>
    <mergeCell ref="J99:K99"/>
    <mergeCell ref="L99:M99"/>
    <mergeCell ref="H180:I180"/>
    <mergeCell ref="H181:I181"/>
    <mergeCell ref="H182:I182"/>
    <mergeCell ref="J125:K125"/>
    <mergeCell ref="L125:M125"/>
    <mergeCell ref="H127:I127"/>
    <mergeCell ref="H128:I128"/>
    <mergeCell ref="H101:I101"/>
    <mergeCell ref="H102:I102"/>
    <mergeCell ref="K110:L110"/>
    <mergeCell ref="H112:I112"/>
    <mergeCell ref="K113:L113"/>
    <mergeCell ref="H135:I135"/>
    <mergeCell ref="H136:I136"/>
    <mergeCell ref="J137:K137"/>
    <mergeCell ref="L137:M137"/>
    <mergeCell ref="H214:I214"/>
    <mergeCell ref="H215:I215"/>
    <mergeCell ref="H216:I216"/>
    <mergeCell ref="H209:I209"/>
    <mergeCell ref="K190:L190"/>
    <mergeCell ref="H191:I191"/>
    <mergeCell ref="E203:G203"/>
    <mergeCell ref="J207:K207"/>
    <mergeCell ref="L207:M207"/>
    <mergeCell ref="H237:I237"/>
    <mergeCell ref="H239:I239"/>
    <mergeCell ref="H240:I240"/>
    <mergeCell ref="H229:I229"/>
    <mergeCell ref="H231:I231"/>
    <mergeCell ref="H232:I232"/>
    <mergeCell ref="H225:I225"/>
    <mergeCell ref="H226:I226"/>
    <mergeCell ref="L227:M227"/>
    <mergeCell ref="L253:M253"/>
    <mergeCell ref="H257:I257"/>
    <mergeCell ref="H241:I241"/>
    <mergeCell ref="H242:I242"/>
    <mergeCell ref="L243:M243"/>
    <mergeCell ref="H245:I245"/>
    <mergeCell ref="H247:I247"/>
    <mergeCell ref="H248:I248"/>
    <mergeCell ref="J243:K243"/>
    <mergeCell ref="H258:I258"/>
    <mergeCell ref="H259:I259"/>
    <mergeCell ref="H260:I260"/>
    <mergeCell ref="H261:I261"/>
    <mergeCell ref="H262:I262"/>
    <mergeCell ref="H263:I263"/>
    <mergeCell ref="H249:I249"/>
    <mergeCell ref="H250:I250"/>
    <mergeCell ref="H251:I251"/>
    <mergeCell ref="H252:I252"/>
    <mergeCell ref="H272:I272"/>
    <mergeCell ref="H273:I273"/>
    <mergeCell ref="J274:K274"/>
    <mergeCell ref="L274:M274"/>
    <mergeCell ref="J264:K264"/>
    <mergeCell ref="L264:M264"/>
    <mergeCell ref="H266:I266"/>
    <mergeCell ref="H267:I267"/>
    <mergeCell ref="H268:I268"/>
    <mergeCell ref="H269:I269"/>
    <mergeCell ref="H270:I270"/>
    <mergeCell ref="H271:I271"/>
    <mergeCell ref="H304:I304"/>
    <mergeCell ref="H296:I296"/>
    <mergeCell ref="H297:I297"/>
    <mergeCell ref="H298:I298"/>
    <mergeCell ref="H299:I299"/>
    <mergeCell ref="J300:K300"/>
    <mergeCell ref="L300:M300"/>
    <mergeCell ref="H290:I290"/>
    <mergeCell ref="H291:I291"/>
    <mergeCell ref="H292:I292"/>
    <mergeCell ref="H293:I293"/>
    <mergeCell ref="L294:M294"/>
    <mergeCell ref="H295:I295"/>
    <mergeCell ref="J294:K294"/>
    <mergeCell ref="H301:I301"/>
    <mergeCell ref="H302:I302"/>
    <mergeCell ref="H303:I303"/>
    <mergeCell ref="H283:I283"/>
    <mergeCell ref="H284:I284"/>
    <mergeCell ref="L285:M285"/>
    <mergeCell ref="H286:I286"/>
    <mergeCell ref="H287:I287"/>
    <mergeCell ref="H289:I289"/>
    <mergeCell ref="J285:K285"/>
    <mergeCell ref="H276:I276"/>
    <mergeCell ref="H278:I278"/>
    <mergeCell ref="H279:I279"/>
    <mergeCell ref="H280:I280"/>
    <mergeCell ref="H281:I281"/>
    <mergeCell ref="H282:I282"/>
    <mergeCell ref="H139:I139"/>
    <mergeCell ref="H140:I140"/>
    <mergeCell ref="H129:I129"/>
    <mergeCell ref="H130:I130"/>
    <mergeCell ref="H131:I131"/>
    <mergeCell ref="H132:I132"/>
    <mergeCell ref="H133:I133"/>
    <mergeCell ref="H134:I134"/>
    <mergeCell ref="H147:I147"/>
    <mergeCell ref="H148:I148"/>
    <mergeCell ref="H149:I149"/>
    <mergeCell ref="H150:I150"/>
    <mergeCell ref="H151:I151"/>
    <mergeCell ref="H152:I152"/>
    <mergeCell ref="H141:I141"/>
    <mergeCell ref="H142:I142"/>
    <mergeCell ref="H143:I143"/>
    <mergeCell ref="H144:I144"/>
    <mergeCell ref="H145:I145"/>
    <mergeCell ref="H146:I146"/>
    <mergeCell ref="H166:I166"/>
    <mergeCell ref="J171:K171"/>
    <mergeCell ref="L171:M171"/>
    <mergeCell ref="J217:K217"/>
    <mergeCell ref="J227:K227"/>
    <mergeCell ref="J235:K235"/>
    <mergeCell ref="H153:I153"/>
    <mergeCell ref="J154:K154"/>
    <mergeCell ref="L154:M154"/>
    <mergeCell ref="H156:I156"/>
    <mergeCell ref="H157:I157"/>
    <mergeCell ref="K164:L164"/>
    <mergeCell ref="H233:I233"/>
    <mergeCell ref="H234:I234"/>
    <mergeCell ref="L235:M235"/>
    <mergeCell ref="L217:M217"/>
    <mergeCell ref="H219:I219"/>
    <mergeCell ref="H221:I221"/>
    <mergeCell ref="H222:I222"/>
    <mergeCell ref="H223:I223"/>
    <mergeCell ref="H224:I224"/>
    <mergeCell ref="H211:I211"/>
    <mergeCell ref="H212:I212"/>
    <mergeCell ref="H213:I213"/>
    <mergeCell ref="C19:M19"/>
    <mergeCell ref="C20:M20"/>
    <mergeCell ref="C21:M21"/>
    <mergeCell ref="C22:M22"/>
    <mergeCell ref="C23:M23"/>
    <mergeCell ref="G15:L15"/>
    <mergeCell ref="G16:L16"/>
    <mergeCell ref="G17:L17"/>
    <mergeCell ref="C5:F18"/>
    <mergeCell ref="G5:M6"/>
    <mergeCell ref="G7:M7"/>
    <mergeCell ref="G8:M9"/>
    <mergeCell ref="H11:K11"/>
    <mergeCell ref="L11:M11"/>
    <mergeCell ref="H12:K12"/>
    <mergeCell ref="L12:M12"/>
    <mergeCell ref="H13:K13"/>
    <mergeCell ref="L13:M13"/>
  </mergeCells>
  <conditionalFormatting sqref="D286:F286 D289:D295 E288:E295 F289:F295 J86:K93 J97:K98 J170 J166:K169 J194:K207">
    <cfRule type="expression" dxfId="207" priority="31" stopIfTrue="1">
      <formula>AND($B86&lt;&gt;"COMPOSICAO",$B86&lt;&gt;"INSUMO",$B86&lt;&gt;"")</formula>
    </cfRule>
    <cfRule type="expression" dxfId="206" priority="32" stopIfTrue="1">
      <formula>AND(OR($B86="COMPOSICAO",$B86="INSUMO",$B86&lt;&gt;""),$B86&lt;&gt;"")</formula>
    </cfRule>
  </conditionalFormatting>
  <conditionalFormatting sqref="J94:K96">
    <cfRule type="expression" dxfId="205" priority="9" stopIfTrue="1">
      <formula>AND($B94&lt;&gt;"COMPOSICAO",$B94&lt;&gt;"INSUMO",$B94&lt;&gt;"")</formula>
    </cfRule>
    <cfRule type="expression" dxfId="204" priority="10" stopIfTrue="1">
      <formula>AND(OR($B94="COMPOSICAO",$B94="INSUMO",$B94&lt;&gt;""),$B94&lt;&gt;"")</formula>
    </cfRule>
  </conditionalFormatting>
  <conditionalFormatting sqref="J112:K119 J123:K124">
    <cfRule type="expression" dxfId="203" priority="7" stopIfTrue="1">
      <formula>AND($B112&lt;&gt;"COMPOSICAO",$B112&lt;&gt;"INSUMO",$B112&lt;&gt;"")</formula>
    </cfRule>
    <cfRule type="expression" dxfId="202" priority="8" stopIfTrue="1">
      <formula>AND(OR($B112="COMPOSICAO",$B112="INSUMO",$B112&lt;&gt;""),$B112&lt;&gt;"")</formula>
    </cfRule>
  </conditionalFormatting>
  <conditionalFormatting sqref="J120:K122">
    <cfRule type="expression" dxfId="201" priority="5" stopIfTrue="1">
      <formula>AND($B120&lt;&gt;"COMPOSICAO",$B120&lt;&gt;"INSUMO",$B120&lt;&gt;"")</formula>
    </cfRule>
    <cfRule type="expression" dxfId="200" priority="6" stopIfTrue="1">
      <formula>AND(OR($B120="COMPOSICAO",$B120="INSUMO",$B120&lt;&gt;""),$B120&lt;&gt;"")</formula>
    </cfRule>
  </conditionalFormatting>
  <conditionalFormatting sqref="K170">
    <cfRule type="expression" dxfId="199" priority="1" stopIfTrue="1">
      <formula>AND($B170&lt;&gt;"COMPOSICAO",$B170&lt;&gt;"INSUMO",$B170&lt;&gt;"")</formula>
    </cfRule>
    <cfRule type="expression" dxfId="198" priority="2" stopIfTrue="1">
      <formula>AND(OR($B170="COMPOSICAO",$B170="INSUMO",$B170&lt;&gt;""),$B170&lt;&gt;"")</formula>
    </cfRule>
  </conditionalFormatting>
  <hyperlinks>
    <hyperlink ref="E141" r:id="rId1" display="javascript:nm_gp_submit5('/consulta_composicao_detalhado/', '/consulta_composicao/', '@SC_par@4618@SC_par@consulta_composicao_detalha_insumos_composicao@SC_par@7df0cde4b83d38888f0e2c48a0a44771', '_self', 'inicio', '0', '0', '', 'consulta_composicao_detalhado', '1')" xr:uid="{ED18836A-AE61-4C63-BEC4-3831A40ADAE9}"/>
    <hyperlink ref="E142" r:id="rId2" display="javascript:nm_gp_submit5('/consulta_composicao_detalhado/', '/consulta_composicao/', '@SC_par@4618@SC_par@consulta_composicao_detalha_insumos_composicao@SC_par@383590e5a349e16814e2a194b856b861', '_self', 'inicio', '0', '0', '', 'consulta_composicao_detalhado', '2')" xr:uid="{69A7E039-973D-40F2-BFF5-2EBED1AE8ACC}"/>
    <hyperlink ref="E143" r:id="rId3" display="javascript:nm_gp_submit5('/consulta_composicao_detalhado/', '/consulta_composicao/', '@SC_par@4618@SC_par@consulta_composicao_detalha_insumos_composicao@SC_par@72dd2cc41730b804f5f1ff67951a7112', '_self', 'inicio', '0', '0', '', 'consulta_composicao_detalhado', '3')" xr:uid="{6C6F3999-6188-40B9-8C78-068A4667FE2F}"/>
    <hyperlink ref="E144" r:id="rId4" display="javascript:nm_gp_submit5('/consulta_composicao_detalhado/', '/consulta_composicao/', '@SC_par@4618@SC_par@consulta_composicao_detalha_insumos_composicao@SC_par@5035b6da3b5283f1cabe1680ed89d37f', '_self', 'inicio', '0', '0', '', 'consulta_composicao_detalhado', '4')" xr:uid="{D77DBDE7-8373-47A1-9A13-D9ACE63D1CD5}"/>
    <hyperlink ref="E145" r:id="rId5" display="javascript:nm_gp_submit5('/consulta_composicao_detalhado/', '/consulta_composicao/', '@SC_par@4618@SC_par@consulta_composicao_detalha_insumos_composicao@SC_par@b944a502cad04915f72ef331c0c2e139', '_self', 'inicio', '0', '0', '', 'consulta_composicao_detalhado', '5')" xr:uid="{8C41A072-A71C-4A48-9F45-A03FA414DCA5}"/>
    <hyperlink ref="E146" r:id="rId6" display="javascript:nm_gp_submit5('/consulta_composicao_detalhado/', '/consulta_composicao/', '@SC_par@4618@SC_par@consulta_composicao_detalha_insumos_composicao@SC_par@527fdd4cb1586aa8bf034e5d5262eeda', '_self', 'inicio', '0', '0', '', 'consulta_composicao_detalhado', '6')" xr:uid="{7A467B49-F5AE-475F-A7B0-C19E0BF75478}"/>
    <hyperlink ref="E147" r:id="rId7" display="javascript:nm_gp_submit5('/consulta_composicao_detalhado/', '/consulta_composicao/', '@SC_par@4618@SC_par@consulta_composicao_detalha_insumos_composicao@SC_par@610a256f07407c0b17179becdc19fb31', '_self', 'inicio', '0', '0', '', 'consulta_composicao_detalhado', '7')" xr:uid="{761985AE-6F63-4FF8-AF76-93283A256B7E}"/>
    <hyperlink ref="E148" r:id="rId8" display="javascript:nm_gp_submit5('/consulta_composicao_detalhado/', '/consulta_composicao/', '@SC_par@4618@SC_par@consulta_composicao_detalha_insumos_composicao@SC_par@2a6efe76b229339f0bc7bad91daeebef', '_self', 'inicio', '0', '0', '', 'consulta_composicao_detalhado', '8')" xr:uid="{E7D754A3-2906-48DA-AF40-A64FFEFA68C2}"/>
    <hyperlink ref="E149" r:id="rId9" display="javascript:nm_gp_submit5('/consulta_composicao_detalhado/', '/consulta_composicao/', '@SC_par@4618@SC_par@consulta_composicao_detalha_insumos_composicao@SC_par@a9a016f7d1972aa7a4b2058cb6e82e99', '_self', 'inicio', '0', '0', '', 'consulta_composicao_detalhado', '9')" xr:uid="{07E8C794-C7C0-4969-8D6E-229826F60DCD}"/>
    <hyperlink ref="E150" r:id="rId10" display="javascript:nm_gp_submit5('/consulta_composicao_detalhado/', '/consulta_composicao/', '@SC_par@4618@SC_par@consulta_composicao_detalha_insumos_composicao@SC_par@173e2271efa361cf04e14984e27f3060', '_self', 'inicio', '0', '0', '', 'consulta_composicao_detalhado', '10')" xr:uid="{84000780-09F2-44C9-9E4A-9CE51368D994}"/>
    <hyperlink ref="E151" r:id="rId11" display="javascript:nm_gp_submit5('/consulta_composicao_detalhado/', '/consulta_composicao/', '@SC_par@4618@SC_par@consulta_composicao_detalha_insumos_composicao@SC_par@0fb7f16a1d68a31f0cdf58387b65abe1', '_self', 'inicio', '0', '0', '', 'consulta_composicao_detalhado', '11')" xr:uid="{F27F60DF-A90B-49DB-8219-F0A06094E83B}"/>
    <hyperlink ref="E152" r:id="rId12" display="javascript:nm_gp_submit5('/consulta_composicao_detalhado/', '/consulta_composicao/', '@SC_par@4618@SC_par@consulta_composicao_detalha_insumos_composicao@SC_par@8ffba09d0a1ff4a7776d6586fc3afa42', '_self', 'inicio', '0', '0', '', 'consulta_composicao_detalhado', '12')" xr:uid="{40BDF41A-E67E-4EC1-B873-E41BACE41969}"/>
    <hyperlink ref="E153" r:id="rId13" display="javascript:nm_gp_submit5('/consulta_composicao_detalhado/', '/consulta_composicao/', '@SC_par@4618@SC_par@consulta_composicao_detalha_insumos_composicao@SC_par@48df78695211b7b8d8c7bb612336356c', '_self', 'inicio', '0', '0', '', 'consulta_composicao_detalhado', '13')" xr:uid="{7FACE410-0A87-414F-A4AF-328F6B4938B1}"/>
  </hyperlinks>
  <pageMargins left="0.511811024" right="0.511811024" top="0.78740157499999996" bottom="0.78740157499999996" header="0.31496062000000002" footer="0.31496062000000002"/>
  <pageSetup paperSize="9" scale="29" fitToHeight="0" orientation="portrait" horizontalDpi="360" verticalDpi="360" r:id="rId14"/>
  <ignoredErrors>
    <ignoredError sqref="K210 E211:E216 E268:E273" numberStoredAsText="1"/>
  </ignoredErrors>
  <drawing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11"/>
  <sheetViews>
    <sheetView topLeftCell="A16" zoomScale="70" zoomScaleNormal="70" workbookViewId="0">
      <selection activeCell="F29" sqref="F29"/>
    </sheetView>
  </sheetViews>
  <sheetFormatPr defaultColWidth="11.42578125" defaultRowHeight="15" x14ac:dyDescent="0.25"/>
  <cols>
    <col min="1" max="1" width="11.42578125" style="34"/>
    <col min="2" max="2" width="19" customWidth="1"/>
    <col min="3" max="3" width="10.140625" customWidth="1"/>
    <col min="4" max="4" width="15.140625" customWidth="1"/>
    <col min="6" max="6" width="84.5703125" customWidth="1"/>
    <col min="7" max="7" width="15.5703125" customWidth="1"/>
    <col min="8" max="8" width="13.85546875" customWidth="1"/>
    <col min="10" max="10" width="15.42578125" customWidth="1"/>
  </cols>
  <sheetData>
    <row r="1" spans="2:12" ht="15.75" x14ac:dyDescent="0.25">
      <c r="B1" s="57" t="s">
        <v>36</v>
      </c>
      <c r="C1" s="58"/>
      <c r="D1" s="59"/>
      <c r="E1" s="60"/>
      <c r="F1" s="152"/>
      <c r="G1" s="905" t="s">
        <v>227</v>
      </c>
      <c r="H1" s="905"/>
      <c r="I1" s="61">
        <v>0.73250000000000004</v>
      </c>
      <c r="J1" s="906"/>
      <c r="K1" s="907"/>
      <c r="L1" s="908"/>
    </row>
    <row r="2" spans="2:12" ht="15.75" x14ac:dyDescent="0.25">
      <c r="B2" s="62" t="s">
        <v>37</v>
      </c>
      <c r="C2" s="915" t="str">
        <f>'[12]PLANILHA ORÇAMENTÁRIA'!B4</f>
        <v>IMPLANTAÇÃO PAVIMENTAÇÃO E ACESSIBILIDADE</v>
      </c>
      <c r="D2" s="915"/>
      <c r="E2" s="915"/>
      <c r="F2" s="916"/>
      <c r="G2" s="917" t="s">
        <v>228</v>
      </c>
      <c r="H2" s="917"/>
      <c r="I2" s="63">
        <v>1.1668000000000001</v>
      </c>
      <c r="J2" s="909"/>
      <c r="K2" s="910"/>
      <c r="L2" s="911"/>
    </row>
    <row r="3" spans="2:12" ht="15.75" x14ac:dyDescent="0.25">
      <c r="B3" s="62" t="s">
        <v>38</v>
      </c>
      <c r="C3" s="915" t="s">
        <v>39</v>
      </c>
      <c r="D3" s="915"/>
      <c r="E3" s="915"/>
      <c r="F3" s="916"/>
      <c r="G3" s="917" t="s">
        <v>229</v>
      </c>
      <c r="H3" s="917"/>
      <c r="I3" s="64">
        <f>'PLANILHA ORÇAMENTÁRIA'!G10</f>
        <v>0</v>
      </c>
      <c r="J3" s="909"/>
      <c r="K3" s="910"/>
      <c r="L3" s="911"/>
    </row>
    <row r="4" spans="2:12" ht="15.75" customHeight="1" x14ac:dyDescent="0.25">
      <c r="B4" s="62" t="s">
        <v>43</v>
      </c>
      <c r="C4" s="915">
        <f>'PLANILHA ORÇAMENTÁRIA'!C9</f>
        <v>0</v>
      </c>
      <c r="D4" s="915"/>
      <c r="E4" s="915"/>
      <c r="F4" s="916"/>
      <c r="G4" s="917" t="s">
        <v>230</v>
      </c>
      <c r="H4" s="917"/>
      <c r="I4" s="65">
        <v>0.25</v>
      </c>
      <c r="J4" s="909"/>
      <c r="K4" s="910"/>
      <c r="L4" s="911"/>
    </row>
    <row r="5" spans="2:12" ht="15.75" x14ac:dyDescent="0.25">
      <c r="B5" s="62">
        <f>'PLANILHA ORÇAMENTÁRIA'!B10</f>
        <v>0</v>
      </c>
      <c r="C5" s="915">
        <f>'PLANILHA ORÇAMENTÁRIA'!C10</f>
        <v>0</v>
      </c>
      <c r="D5" s="915"/>
      <c r="E5" s="915"/>
      <c r="F5" s="916"/>
      <c r="G5" s="66"/>
      <c r="H5" s="66"/>
      <c r="I5" s="66"/>
      <c r="J5" s="909"/>
      <c r="K5" s="910"/>
      <c r="L5" s="911"/>
    </row>
    <row r="6" spans="2:12" ht="15.75" x14ac:dyDescent="0.25">
      <c r="B6" s="67"/>
      <c r="C6" s="68"/>
      <c r="D6" s="69"/>
      <c r="E6" s="66"/>
      <c r="F6" s="153"/>
      <c r="G6" s="66"/>
      <c r="H6" s="66"/>
      <c r="I6" s="66"/>
      <c r="J6" s="909"/>
      <c r="K6" s="910"/>
      <c r="L6" s="911"/>
    </row>
    <row r="7" spans="2:12" ht="16.5" thickBot="1" x14ac:dyDescent="0.3">
      <c r="B7" s="154"/>
      <c r="C7" s="155"/>
      <c r="D7" s="156"/>
      <c r="E7" s="157"/>
      <c r="F7" s="158"/>
      <c r="G7" s="66"/>
      <c r="H7" s="66"/>
      <c r="I7" s="66"/>
      <c r="J7" s="912"/>
      <c r="K7" s="913"/>
      <c r="L7" s="914"/>
    </row>
    <row r="8" spans="2:12" ht="15.75" x14ac:dyDescent="0.25">
      <c r="B8" s="889" t="s">
        <v>231</v>
      </c>
      <c r="C8" s="890"/>
      <c r="D8" s="890"/>
      <c r="E8" s="890"/>
      <c r="F8" s="890"/>
      <c r="G8" s="890"/>
      <c r="H8" s="890"/>
      <c r="I8" s="890"/>
      <c r="J8" s="890"/>
      <c r="K8" s="890"/>
      <c r="L8" s="891"/>
    </row>
    <row r="9" spans="2:12" ht="18" customHeight="1" x14ac:dyDescent="0.25">
      <c r="B9" s="892" t="s">
        <v>232</v>
      </c>
      <c r="C9" s="893"/>
      <c r="D9" s="893"/>
      <c r="E9" s="893"/>
      <c r="F9" s="893"/>
      <c r="G9" s="893"/>
      <c r="H9" s="893"/>
      <c r="I9" s="893"/>
      <c r="J9" s="893"/>
      <c r="K9" s="893"/>
      <c r="L9" s="894"/>
    </row>
    <row r="10" spans="2:12" ht="15.75" x14ac:dyDescent="0.25">
      <c r="B10" s="70"/>
      <c r="C10" s="71" t="s">
        <v>233</v>
      </c>
      <c r="D10" s="71" t="s">
        <v>234</v>
      </c>
      <c r="E10" s="71" t="s">
        <v>235</v>
      </c>
      <c r="F10" s="72" t="s">
        <v>236</v>
      </c>
      <c r="G10" s="851" t="s">
        <v>237</v>
      </c>
      <c r="H10" s="851"/>
      <c r="I10" s="73" t="s">
        <v>238</v>
      </c>
      <c r="J10" s="73" t="s">
        <v>239</v>
      </c>
      <c r="K10" s="73" t="s">
        <v>240</v>
      </c>
      <c r="L10" s="74" t="s">
        <v>30</v>
      </c>
    </row>
    <row r="11" spans="2:12" x14ac:dyDescent="0.25">
      <c r="B11" s="75" t="s">
        <v>241</v>
      </c>
      <c r="C11" s="76" t="s">
        <v>5</v>
      </c>
      <c r="D11" s="76" t="s">
        <v>242</v>
      </c>
      <c r="E11" s="76" t="s">
        <v>243</v>
      </c>
      <c r="F11" s="140" t="s">
        <v>244</v>
      </c>
      <c r="G11" s="895" t="s">
        <v>245</v>
      </c>
      <c r="H11" s="895"/>
      <c r="I11" s="77" t="s">
        <v>6</v>
      </c>
      <c r="J11" s="77">
        <v>1</v>
      </c>
      <c r="K11" s="78">
        <v>295.94</v>
      </c>
      <c r="L11" s="79">
        <f>SUM(L12:L18)</f>
        <v>302.98073999999997</v>
      </c>
    </row>
    <row r="12" spans="2:12" ht="15.75" customHeight="1" x14ac:dyDescent="0.25">
      <c r="B12" s="142" t="s">
        <v>246</v>
      </c>
      <c r="C12" s="115"/>
      <c r="D12" s="217" t="s">
        <v>247</v>
      </c>
      <c r="E12" s="76" t="s">
        <v>243</v>
      </c>
      <c r="F12" s="141" t="s">
        <v>17</v>
      </c>
      <c r="G12" s="895" t="s">
        <v>248</v>
      </c>
      <c r="H12" s="895"/>
      <c r="I12" s="77" t="s">
        <v>48</v>
      </c>
      <c r="J12" s="77" t="s">
        <v>249</v>
      </c>
      <c r="K12" s="78">
        <v>10.93</v>
      </c>
      <c r="L12" s="79">
        <f>J12*K12</f>
        <v>21.86</v>
      </c>
    </row>
    <row r="13" spans="2:12" x14ac:dyDescent="0.25">
      <c r="B13" s="142" t="s">
        <v>246</v>
      </c>
      <c r="C13" s="115"/>
      <c r="D13" s="217" t="s">
        <v>250</v>
      </c>
      <c r="E13" s="76" t="s">
        <v>243</v>
      </c>
      <c r="F13" s="141" t="s">
        <v>20</v>
      </c>
      <c r="G13" s="895" t="s">
        <v>248</v>
      </c>
      <c r="H13" s="895"/>
      <c r="I13" s="77" t="s">
        <v>48</v>
      </c>
      <c r="J13" s="77" t="s">
        <v>251</v>
      </c>
      <c r="K13" s="78">
        <v>14.59</v>
      </c>
      <c r="L13" s="79">
        <f t="shared" ref="L13:L18" si="0">J13*K13</f>
        <v>14.59</v>
      </c>
    </row>
    <row r="14" spans="2:12" x14ac:dyDescent="0.25">
      <c r="B14" s="142" t="s">
        <v>246</v>
      </c>
      <c r="C14" s="115"/>
      <c r="D14" s="217" t="s">
        <v>252</v>
      </c>
      <c r="E14" s="76" t="s">
        <v>243</v>
      </c>
      <c r="F14" s="141" t="s">
        <v>24</v>
      </c>
      <c r="G14" s="895" t="s">
        <v>253</v>
      </c>
      <c r="H14" s="895"/>
      <c r="I14" s="77" t="s">
        <v>11</v>
      </c>
      <c r="J14" s="82">
        <v>3.9E-2</v>
      </c>
      <c r="K14" s="78">
        <v>207.46</v>
      </c>
      <c r="L14" s="79">
        <f t="shared" si="0"/>
        <v>8.0909399999999998</v>
      </c>
    </row>
    <row r="15" spans="2:12" ht="17.25" customHeight="1" x14ac:dyDescent="0.25">
      <c r="B15" s="142" t="s">
        <v>254</v>
      </c>
      <c r="C15" s="115"/>
      <c r="D15" s="217" t="s">
        <v>255</v>
      </c>
      <c r="E15" s="76" t="s">
        <v>243</v>
      </c>
      <c r="F15" s="141" t="s">
        <v>44</v>
      </c>
      <c r="G15" s="895" t="s">
        <v>256</v>
      </c>
      <c r="H15" s="895"/>
      <c r="I15" s="77" t="s">
        <v>45</v>
      </c>
      <c r="J15" s="77" t="s">
        <v>251</v>
      </c>
      <c r="K15" s="78">
        <v>3.29</v>
      </c>
      <c r="L15" s="79">
        <f t="shared" si="0"/>
        <v>3.29</v>
      </c>
    </row>
    <row r="16" spans="2:12" ht="17.25" customHeight="1" x14ac:dyDescent="0.25">
      <c r="B16" s="142" t="s">
        <v>254</v>
      </c>
      <c r="C16" s="115"/>
      <c r="D16" s="217" t="s">
        <v>257</v>
      </c>
      <c r="E16" s="76" t="s">
        <v>243</v>
      </c>
      <c r="F16" s="141" t="s">
        <v>23</v>
      </c>
      <c r="G16" s="895" t="s">
        <v>256</v>
      </c>
      <c r="H16" s="895"/>
      <c r="I16" s="77" t="s">
        <v>47</v>
      </c>
      <c r="J16" s="77" t="s">
        <v>258</v>
      </c>
      <c r="K16" s="78">
        <v>10.68</v>
      </c>
      <c r="L16" s="79">
        <f t="shared" si="0"/>
        <v>1.1748000000000001</v>
      </c>
    </row>
    <row r="17" spans="2:13" ht="17.25" customHeight="1" x14ac:dyDescent="0.25">
      <c r="B17" s="142" t="s">
        <v>254</v>
      </c>
      <c r="C17" s="115"/>
      <c r="D17" s="217" t="s">
        <v>259</v>
      </c>
      <c r="E17" s="76" t="s">
        <v>243</v>
      </c>
      <c r="F17" s="141" t="s">
        <v>46</v>
      </c>
      <c r="G17" s="895" t="s">
        <v>256</v>
      </c>
      <c r="H17" s="895"/>
      <c r="I17" s="77" t="s">
        <v>6</v>
      </c>
      <c r="J17" s="82">
        <v>1.0149999999999999</v>
      </c>
      <c r="K17" s="78">
        <v>225</v>
      </c>
      <c r="L17" s="79">
        <f t="shared" si="0"/>
        <v>228.37499999999997</v>
      </c>
    </row>
    <row r="18" spans="2:13" x14ac:dyDescent="0.25">
      <c r="B18" s="142" t="s">
        <v>254</v>
      </c>
      <c r="C18" s="115"/>
      <c r="D18" s="217" t="s">
        <v>260</v>
      </c>
      <c r="E18" s="76" t="s">
        <v>243</v>
      </c>
      <c r="F18" s="141" t="s">
        <v>22</v>
      </c>
      <c r="G18" s="895" t="s">
        <v>256</v>
      </c>
      <c r="H18" s="895"/>
      <c r="I18" s="77" t="s">
        <v>45</v>
      </c>
      <c r="J18" s="77" t="s">
        <v>261</v>
      </c>
      <c r="K18" s="78">
        <v>6.4</v>
      </c>
      <c r="L18" s="79">
        <f t="shared" si="0"/>
        <v>25.6</v>
      </c>
    </row>
    <row r="19" spans="2:13" s="34" customFormat="1" ht="15.75" customHeight="1" x14ac:dyDescent="0.25">
      <c r="B19" s="75"/>
      <c r="C19" s="76"/>
      <c r="D19" s="76"/>
      <c r="E19" s="76"/>
      <c r="F19" s="80"/>
      <c r="G19" s="77" t="s">
        <v>262</v>
      </c>
      <c r="H19" s="83">
        <f>0.25*L11</f>
        <v>75.745184999999992</v>
      </c>
      <c r="I19" s="899" t="s">
        <v>263</v>
      </c>
      <c r="J19" s="899"/>
      <c r="K19" s="900">
        <f>L11+H19</f>
        <v>378.72592499999996</v>
      </c>
      <c r="L19" s="901"/>
    </row>
    <row r="20" spans="2:13" s="34" customFormat="1" x14ac:dyDescent="0.25"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151"/>
    </row>
    <row r="21" spans="2:13" s="34" customFormat="1" ht="18" customHeight="1" x14ac:dyDescent="0.25">
      <c r="B21" s="70"/>
      <c r="C21" s="71" t="s">
        <v>233</v>
      </c>
      <c r="D21" s="71" t="s">
        <v>234</v>
      </c>
      <c r="E21" s="71" t="s">
        <v>235</v>
      </c>
      <c r="F21" s="86" t="s">
        <v>264</v>
      </c>
      <c r="G21" s="851" t="s">
        <v>237</v>
      </c>
      <c r="H21" s="851"/>
      <c r="I21" s="73" t="s">
        <v>238</v>
      </c>
      <c r="J21" s="73" t="s">
        <v>239</v>
      </c>
      <c r="K21" s="73" t="s">
        <v>240</v>
      </c>
      <c r="L21" s="74" t="s">
        <v>30</v>
      </c>
    </row>
    <row r="22" spans="2:13" s="34" customFormat="1" ht="25.5" x14ac:dyDescent="0.25">
      <c r="B22" s="75" t="s">
        <v>241</v>
      </c>
      <c r="C22" s="76" t="s">
        <v>7</v>
      </c>
      <c r="D22" s="76" t="s">
        <v>265</v>
      </c>
      <c r="E22" s="76" t="s">
        <v>243</v>
      </c>
      <c r="F22" s="138" t="s">
        <v>266</v>
      </c>
      <c r="G22" s="902" t="s">
        <v>245</v>
      </c>
      <c r="H22" s="903"/>
      <c r="I22" s="77" t="s">
        <v>6</v>
      </c>
      <c r="J22" s="82">
        <v>1</v>
      </c>
      <c r="K22" s="82">
        <f>L22</f>
        <v>559.44838699999991</v>
      </c>
      <c r="L22" s="79">
        <f>SUM(L23:L64)</f>
        <v>559.44838699999991</v>
      </c>
    </row>
    <row r="23" spans="2:13" s="34" customFormat="1" ht="17.25" customHeight="1" x14ac:dyDescent="0.25">
      <c r="B23" s="75" t="s">
        <v>246</v>
      </c>
      <c r="C23" s="76"/>
      <c r="D23" s="76" t="s">
        <v>403</v>
      </c>
      <c r="E23" s="76" t="s">
        <v>243</v>
      </c>
      <c r="F23" s="138" t="s">
        <v>20</v>
      </c>
      <c r="G23" s="904" t="s">
        <v>248</v>
      </c>
      <c r="H23" s="904"/>
      <c r="I23" s="77" t="s">
        <v>48</v>
      </c>
      <c r="J23" s="82">
        <v>0.97940000000000005</v>
      </c>
      <c r="K23" s="77" t="s">
        <v>267</v>
      </c>
      <c r="L23" s="79">
        <f>J23*K23</f>
        <v>14.289446</v>
      </c>
    </row>
    <row r="24" spans="2:13" s="34" customFormat="1" ht="26.25" x14ac:dyDescent="0.25">
      <c r="B24" s="75" t="s">
        <v>246</v>
      </c>
      <c r="C24" s="76"/>
      <c r="D24" s="76" t="s">
        <v>404</v>
      </c>
      <c r="E24" s="76" t="s">
        <v>243</v>
      </c>
      <c r="F24" s="138" t="s">
        <v>268</v>
      </c>
      <c r="G24" s="918" t="s">
        <v>245</v>
      </c>
      <c r="H24" s="919"/>
      <c r="I24" s="77" t="s">
        <v>6</v>
      </c>
      <c r="J24" s="82">
        <v>0.35039999999999999</v>
      </c>
      <c r="K24" s="77" t="s">
        <v>269</v>
      </c>
      <c r="L24" s="79">
        <f t="shared" ref="L24:L64" si="1">J24*K24</f>
        <v>26.115311999999999</v>
      </c>
    </row>
    <row r="25" spans="2:13" s="34" customFormat="1" ht="42.75" customHeight="1" x14ac:dyDescent="0.25">
      <c r="B25" s="75" t="s">
        <v>246</v>
      </c>
      <c r="C25" s="76"/>
      <c r="D25" s="76" t="s">
        <v>405</v>
      </c>
      <c r="E25" s="76" t="s">
        <v>243</v>
      </c>
      <c r="F25" s="138" t="s">
        <v>270</v>
      </c>
      <c r="G25" s="904" t="s">
        <v>245</v>
      </c>
      <c r="H25" s="904"/>
      <c r="I25" s="77" t="s">
        <v>6</v>
      </c>
      <c r="J25" s="82">
        <v>0.40479999999999999</v>
      </c>
      <c r="K25" s="77" t="s">
        <v>271</v>
      </c>
      <c r="L25" s="79">
        <f t="shared" si="1"/>
        <v>30.902432000000001</v>
      </c>
    </row>
    <row r="26" spans="2:13" s="34" customFormat="1" ht="26.25" x14ac:dyDescent="0.25">
      <c r="B26" s="75" t="s">
        <v>246</v>
      </c>
      <c r="C26" s="76"/>
      <c r="D26" s="76" t="s">
        <v>406</v>
      </c>
      <c r="E26" s="76" t="s">
        <v>243</v>
      </c>
      <c r="F26" s="138" t="s">
        <v>272</v>
      </c>
      <c r="G26" s="904" t="s">
        <v>245</v>
      </c>
      <c r="H26" s="904"/>
      <c r="I26" s="77" t="s">
        <v>6</v>
      </c>
      <c r="J26" s="82">
        <v>2.81E-2</v>
      </c>
      <c r="K26" s="77" t="s">
        <v>273</v>
      </c>
      <c r="L26" s="79">
        <f t="shared" si="1"/>
        <v>1.8456080000000001</v>
      </c>
    </row>
    <row r="27" spans="2:13" s="34" customFormat="1" ht="39" customHeight="1" x14ac:dyDescent="0.25">
      <c r="B27" s="75" t="s">
        <v>246</v>
      </c>
      <c r="C27" s="76"/>
      <c r="D27" s="76" t="s">
        <v>407</v>
      </c>
      <c r="E27" s="76" t="s">
        <v>243</v>
      </c>
      <c r="F27" s="138" t="s">
        <v>274</v>
      </c>
      <c r="G27" s="904" t="s">
        <v>245</v>
      </c>
      <c r="H27" s="904"/>
      <c r="I27" s="77" t="s">
        <v>6</v>
      </c>
      <c r="J27" s="82">
        <v>3.2300000000000002E-2</v>
      </c>
      <c r="K27" s="77" t="s">
        <v>275</v>
      </c>
      <c r="L27" s="79">
        <f t="shared" si="1"/>
        <v>2.1631309999999999</v>
      </c>
    </row>
    <row r="28" spans="2:13" s="34" customFormat="1" ht="26.25" x14ac:dyDescent="0.25">
      <c r="B28" s="75" t="s">
        <v>246</v>
      </c>
      <c r="C28" s="76"/>
      <c r="D28" s="76" t="s">
        <v>408</v>
      </c>
      <c r="E28" s="76" t="s">
        <v>243</v>
      </c>
      <c r="F28" s="138" t="s">
        <v>276</v>
      </c>
      <c r="G28" s="904" t="s">
        <v>245</v>
      </c>
      <c r="H28" s="904"/>
      <c r="I28" s="77" t="s">
        <v>6</v>
      </c>
      <c r="J28" s="82">
        <v>0.54949999999999999</v>
      </c>
      <c r="K28" s="77" t="s">
        <v>277</v>
      </c>
      <c r="L28" s="79">
        <f t="shared" si="1"/>
        <v>48.108725</v>
      </c>
    </row>
    <row r="29" spans="2:13" s="34" customFormat="1" ht="26.25" x14ac:dyDescent="0.25">
      <c r="B29" s="75" t="s">
        <v>246</v>
      </c>
      <c r="C29" s="76"/>
      <c r="D29" s="76" t="s">
        <v>409</v>
      </c>
      <c r="E29" s="76" t="s">
        <v>243</v>
      </c>
      <c r="F29" s="138" t="s">
        <v>278</v>
      </c>
      <c r="G29" s="904" t="s">
        <v>245</v>
      </c>
      <c r="H29" s="904"/>
      <c r="I29" s="77" t="s">
        <v>6</v>
      </c>
      <c r="J29" s="82">
        <v>0.4284</v>
      </c>
      <c r="K29" s="77" t="s">
        <v>279</v>
      </c>
      <c r="L29" s="79">
        <f t="shared" si="1"/>
        <v>47.243952</v>
      </c>
    </row>
    <row r="30" spans="2:13" s="34" customFormat="1" ht="42.75" customHeight="1" x14ac:dyDescent="0.25">
      <c r="B30" s="75" t="s">
        <v>246</v>
      </c>
      <c r="C30" s="76"/>
      <c r="D30" s="76" t="s">
        <v>410</v>
      </c>
      <c r="E30" s="76" t="s">
        <v>243</v>
      </c>
      <c r="F30" s="138" t="s">
        <v>280</v>
      </c>
      <c r="G30" s="904" t="s">
        <v>245</v>
      </c>
      <c r="H30" s="904"/>
      <c r="I30" s="77" t="s">
        <v>6</v>
      </c>
      <c r="J30" s="82">
        <v>4.3900000000000002E-2</v>
      </c>
      <c r="K30" s="77" t="s">
        <v>281</v>
      </c>
      <c r="L30" s="79">
        <f t="shared" si="1"/>
        <v>3.3061090000000002</v>
      </c>
    </row>
    <row r="31" spans="2:13" s="34" customFormat="1" ht="42.75" customHeight="1" x14ac:dyDescent="0.25">
      <c r="B31" s="75" t="s">
        <v>246</v>
      </c>
      <c r="C31" s="76"/>
      <c r="D31" s="76" t="s">
        <v>411</v>
      </c>
      <c r="E31" s="76" t="s">
        <v>243</v>
      </c>
      <c r="F31" s="138" t="s">
        <v>282</v>
      </c>
      <c r="G31" s="904" t="s">
        <v>245</v>
      </c>
      <c r="H31" s="904"/>
      <c r="I31" s="77" t="s">
        <v>6</v>
      </c>
      <c r="J31" s="82">
        <v>3.4200000000000001E-2</v>
      </c>
      <c r="K31" s="77" t="s">
        <v>283</v>
      </c>
      <c r="L31" s="79">
        <f t="shared" si="1"/>
        <v>3.1710240000000001</v>
      </c>
    </row>
    <row r="32" spans="2:13" s="34" customFormat="1" ht="38.25" x14ac:dyDescent="0.25">
      <c r="B32" s="75" t="s">
        <v>246</v>
      </c>
      <c r="C32" s="76"/>
      <c r="D32" s="76" t="s">
        <v>412</v>
      </c>
      <c r="E32" s="76" t="s">
        <v>243</v>
      </c>
      <c r="F32" s="138" t="s">
        <v>185</v>
      </c>
      <c r="G32" s="902" t="s">
        <v>284</v>
      </c>
      <c r="H32" s="903"/>
      <c r="I32" s="77" t="s">
        <v>6</v>
      </c>
      <c r="J32" s="82">
        <v>1.4396</v>
      </c>
      <c r="K32" s="77" t="s">
        <v>285</v>
      </c>
      <c r="L32" s="79">
        <f t="shared" si="1"/>
        <v>15.202176000000001</v>
      </c>
    </row>
    <row r="33" spans="1:17" s="34" customFormat="1" ht="47.25" customHeight="1" x14ac:dyDescent="0.25">
      <c r="B33" s="75" t="s">
        <v>246</v>
      </c>
      <c r="C33" s="76"/>
      <c r="D33" s="76" t="s">
        <v>413</v>
      </c>
      <c r="E33" s="76" t="s">
        <v>243</v>
      </c>
      <c r="F33" s="138" t="s">
        <v>188</v>
      </c>
      <c r="G33" s="902" t="s">
        <v>284</v>
      </c>
      <c r="H33" s="903"/>
      <c r="I33" s="77" t="s">
        <v>6</v>
      </c>
      <c r="J33" s="82">
        <v>1.4396</v>
      </c>
      <c r="K33" s="77" t="s">
        <v>286</v>
      </c>
      <c r="L33" s="79">
        <f t="shared" si="1"/>
        <v>56.633864000000003</v>
      </c>
    </row>
    <row r="34" spans="1:17" s="34" customFormat="1" x14ac:dyDescent="0.25">
      <c r="B34" s="75" t="s">
        <v>246</v>
      </c>
      <c r="C34" s="76"/>
      <c r="D34" s="76" t="s">
        <v>414</v>
      </c>
      <c r="E34" s="76" t="s">
        <v>243</v>
      </c>
      <c r="F34" s="138" t="s">
        <v>187</v>
      </c>
      <c r="G34" s="904" t="s">
        <v>287</v>
      </c>
      <c r="H34" s="904"/>
      <c r="I34" s="77" t="s">
        <v>11</v>
      </c>
      <c r="J34" s="82">
        <v>2.6200000000000001E-2</v>
      </c>
      <c r="K34" s="77" t="s">
        <v>288</v>
      </c>
      <c r="L34" s="79">
        <f t="shared" si="1"/>
        <v>1.1326259999999999</v>
      </c>
    </row>
    <row r="35" spans="1:17" s="34" customFormat="1" x14ac:dyDescent="0.25">
      <c r="B35" s="75" t="s">
        <v>246</v>
      </c>
      <c r="C35" s="76"/>
      <c r="D35" s="76" t="s">
        <v>415</v>
      </c>
      <c r="E35" s="76" t="s">
        <v>243</v>
      </c>
      <c r="F35" s="138" t="s">
        <v>170</v>
      </c>
      <c r="G35" s="904" t="s">
        <v>289</v>
      </c>
      <c r="H35" s="904"/>
      <c r="I35" s="77" t="s">
        <v>6</v>
      </c>
      <c r="J35" s="82">
        <v>0.13200000000000001</v>
      </c>
      <c r="K35" s="77" t="s">
        <v>290</v>
      </c>
      <c r="L35" s="79">
        <f t="shared" si="1"/>
        <v>42.296760000000006</v>
      </c>
    </row>
    <row r="36" spans="1:17" s="34" customFormat="1" ht="26.25" x14ac:dyDescent="0.25">
      <c r="B36" s="75" t="s">
        <v>246</v>
      </c>
      <c r="C36" s="76"/>
      <c r="D36" s="76" t="s">
        <v>416</v>
      </c>
      <c r="E36" s="76" t="s">
        <v>243</v>
      </c>
      <c r="F36" s="138" t="s">
        <v>189</v>
      </c>
      <c r="G36" s="904" t="s">
        <v>289</v>
      </c>
      <c r="H36" s="904"/>
      <c r="I36" s="77" t="s">
        <v>6</v>
      </c>
      <c r="J36" s="82">
        <v>0.16800000000000001</v>
      </c>
      <c r="K36" s="77" t="s">
        <v>291</v>
      </c>
      <c r="L36" s="79">
        <f t="shared" si="1"/>
        <v>65.674560000000014</v>
      </c>
    </row>
    <row r="37" spans="1:17" s="34" customFormat="1" ht="20.25" customHeight="1" x14ac:dyDescent="0.25">
      <c r="B37" s="75" t="s">
        <v>246</v>
      </c>
      <c r="C37" s="76"/>
      <c r="D37" s="76" t="s">
        <v>417</v>
      </c>
      <c r="E37" s="76" t="s">
        <v>243</v>
      </c>
      <c r="F37" s="138" t="s">
        <v>292</v>
      </c>
      <c r="G37" s="904" t="s">
        <v>253</v>
      </c>
      <c r="H37" s="904"/>
      <c r="I37" s="77" t="s">
        <v>6</v>
      </c>
      <c r="J37" s="82">
        <v>6.0000000000000001E-3</v>
      </c>
      <c r="K37" s="77" t="s">
        <v>293</v>
      </c>
      <c r="L37" s="79">
        <f t="shared" si="1"/>
        <v>5.8679999999999996E-2</v>
      </c>
    </row>
    <row r="38" spans="1:17" s="34" customFormat="1" ht="18" customHeight="1" x14ac:dyDescent="0.25">
      <c r="B38" s="75" t="s">
        <v>246</v>
      </c>
      <c r="C38" s="76"/>
      <c r="D38" s="76" t="s">
        <v>418</v>
      </c>
      <c r="E38" s="76" t="s">
        <v>243</v>
      </c>
      <c r="F38" s="138" t="s">
        <v>294</v>
      </c>
      <c r="G38" s="904" t="s">
        <v>253</v>
      </c>
      <c r="H38" s="904"/>
      <c r="I38" s="77" t="s">
        <v>6</v>
      </c>
      <c r="J38" s="82">
        <v>1.4396</v>
      </c>
      <c r="K38" s="77" t="s">
        <v>295</v>
      </c>
      <c r="L38" s="79">
        <f t="shared" si="1"/>
        <v>23.479875999999997</v>
      </c>
    </row>
    <row r="39" spans="1:17" s="34" customFormat="1" x14ac:dyDescent="0.25">
      <c r="B39" s="75" t="s">
        <v>246</v>
      </c>
      <c r="C39" s="76"/>
      <c r="D39" s="76" t="s">
        <v>419</v>
      </c>
      <c r="E39" s="76" t="s">
        <v>243</v>
      </c>
      <c r="F39" s="138" t="s">
        <v>172</v>
      </c>
      <c r="G39" s="904" t="s">
        <v>253</v>
      </c>
      <c r="H39" s="904"/>
      <c r="I39" s="77" t="s">
        <v>11</v>
      </c>
      <c r="J39" s="82">
        <v>0.12770000000000001</v>
      </c>
      <c r="K39" s="77" t="s">
        <v>296</v>
      </c>
      <c r="L39" s="79">
        <f t="shared" si="1"/>
        <v>41.462913</v>
      </c>
    </row>
    <row r="40" spans="1:17" s="34" customFormat="1" ht="38.25" x14ac:dyDescent="0.25">
      <c r="B40" s="75" t="s">
        <v>246</v>
      </c>
      <c r="C40" s="76"/>
      <c r="D40" s="76" t="s">
        <v>420</v>
      </c>
      <c r="E40" s="76" t="s">
        <v>243</v>
      </c>
      <c r="F40" s="138" t="s">
        <v>175</v>
      </c>
      <c r="G40" s="902" t="s">
        <v>297</v>
      </c>
      <c r="H40" s="903"/>
      <c r="I40" s="77" t="s">
        <v>45</v>
      </c>
      <c r="J40" s="82">
        <v>0.25180000000000002</v>
      </c>
      <c r="K40" s="77" t="s">
        <v>298</v>
      </c>
      <c r="L40" s="79">
        <f t="shared" si="1"/>
        <v>0.45072200000000007</v>
      </c>
    </row>
    <row r="41" spans="1:17" s="34" customFormat="1" ht="26.25" x14ac:dyDescent="0.25">
      <c r="B41" s="75" t="s">
        <v>246</v>
      </c>
      <c r="C41" s="76"/>
      <c r="D41" s="76" t="s">
        <v>421</v>
      </c>
      <c r="E41" s="76" t="s">
        <v>243</v>
      </c>
      <c r="F41" s="138" t="s">
        <v>177</v>
      </c>
      <c r="G41" s="904" t="s">
        <v>299</v>
      </c>
      <c r="H41" s="904"/>
      <c r="I41" s="77" t="s">
        <v>45</v>
      </c>
      <c r="J41" s="82">
        <v>0.25180000000000002</v>
      </c>
      <c r="K41" s="77" t="s">
        <v>300</v>
      </c>
      <c r="L41" s="79">
        <f t="shared" si="1"/>
        <v>1.2967700000000002</v>
      </c>
    </row>
    <row r="42" spans="1:17" s="34" customFormat="1" ht="26.25" x14ac:dyDescent="0.25">
      <c r="B42" s="75" t="s">
        <v>246</v>
      </c>
      <c r="C42" s="76"/>
      <c r="D42" s="76" t="s">
        <v>422</v>
      </c>
      <c r="E42" s="76" t="s">
        <v>243</v>
      </c>
      <c r="F42" s="138" t="s">
        <v>178</v>
      </c>
      <c r="G42" s="904" t="s">
        <v>299</v>
      </c>
      <c r="H42" s="904"/>
      <c r="I42" s="77" t="s">
        <v>45</v>
      </c>
      <c r="J42" s="82">
        <v>0.2266</v>
      </c>
      <c r="K42" s="77" t="s">
        <v>301</v>
      </c>
      <c r="L42" s="79">
        <f t="shared" si="1"/>
        <v>1.271226</v>
      </c>
    </row>
    <row r="43" spans="1:17" s="34" customFormat="1" ht="38.25" x14ac:dyDescent="0.25">
      <c r="B43" s="75" t="s">
        <v>246</v>
      </c>
      <c r="C43" s="76"/>
      <c r="D43" s="76" t="s">
        <v>423</v>
      </c>
      <c r="E43" s="76" t="s">
        <v>243</v>
      </c>
      <c r="F43" s="138" t="s">
        <v>176</v>
      </c>
      <c r="G43" s="902" t="s">
        <v>297</v>
      </c>
      <c r="H43" s="903"/>
      <c r="I43" s="77" t="s">
        <v>45</v>
      </c>
      <c r="J43" s="82">
        <v>0.2266</v>
      </c>
      <c r="K43" s="77" t="s">
        <v>302</v>
      </c>
      <c r="L43" s="79">
        <f t="shared" si="1"/>
        <v>0.20394000000000001</v>
      </c>
    </row>
    <row r="44" spans="1:17" s="34" customFormat="1" ht="26.25" x14ac:dyDescent="0.25">
      <c r="B44" s="75" t="s">
        <v>246</v>
      </c>
      <c r="C44" s="76"/>
      <c r="D44" s="76" t="s">
        <v>424</v>
      </c>
      <c r="E44" s="76" t="s">
        <v>243</v>
      </c>
      <c r="F44" s="138" t="s">
        <v>179</v>
      </c>
      <c r="G44" s="904" t="s">
        <v>299</v>
      </c>
      <c r="H44" s="904"/>
      <c r="I44" s="77" t="s">
        <v>166</v>
      </c>
      <c r="J44" s="82">
        <v>7.5499999999999998E-2</v>
      </c>
      <c r="K44" s="77" t="s">
        <v>303</v>
      </c>
      <c r="L44" s="79">
        <f t="shared" si="1"/>
        <v>0.52699000000000007</v>
      </c>
    </row>
    <row r="45" spans="1:17" s="34" customFormat="1" ht="26.25" x14ac:dyDescent="0.25">
      <c r="B45" s="75" t="s">
        <v>246</v>
      </c>
      <c r="C45" s="76"/>
      <c r="D45" s="76" t="s">
        <v>425</v>
      </c>
      <c r="E45" s="76" t="s">
        <v>243</v>
      </c>
      <c r="F45" s="138" t="s">
        <v>180</v>
      </c>
      <c r="G45" s="904" t="s">
        <v>299</v>
      </c>
      <c r="H45" s="904"/>
      <c r="I45" s="77" t="s">
        <v>45</v>
      </c>
      <c r="J45" s="82">
        <v>0.62190000000000001</v>
      </c>
      <c r="K45" s="77" t="s">
        <v>304</v>
      </c>
      <c r="L45" s="79">
        <f t="shared" si="1"/>
        <v>0.87687899999999996</v>
      </c>
    </row>
    <row r="46" spans="1:17" s="34" customFormat="1" ht="26.25" x14ac:dyDescent="0.25">
      <c r="B46" s="75" t="s">
        <v>246</v>
      </c>
      <c r="C46" s="76"/>
      <c r="D46" s="76" t="s">
        <v>426</v>
      </c>
      <c r="E46" s="76" t="s">
        <v>243</v>
      </c>
      <c r="F46" s="138" t="s">
        <v>181</v>
      </c>
      <c r="G46" s="904" t="s">
        <v>299</v>
      </c>
      <c r="H46" s="904"/>
      <c r="I46" s="77" t="s">
        <v>45</v>
      </c>
      <c r="J46" s="82">
        <v>0.67979999999999996</v>
      </c>
      <c r="K46" s="77" t="s">
        <v>305</v>
      </c>
      <c r="L46" s="79">
        <f t="shared" si="1"/>
        <v>1.4139839999999999</v>
      </c>
    </row>
    <row r="47" spans="1:17" s="2" customFormat="1" ht="25.5" x14ac:dyDescent="0.2">
      <c r="A47" s="39"/>
      <c r="B47" s="75" t="s">
        <v>246</v>
      </c>
      <c r="C47" s="76"/>
      <c r="D47" s="76" t="s">
        <v>427</v>
      </c>
      <c r="E47" s="76" t="s">
        <v>243</v>
      </c>
      <c r="F47" s="138" t="s">
        <v>182</v>
      </c>
      <c r="G47" s="904" t="s">
        <v>299</v>
      </c>
      <c r="H47" s="904"/>
      <c r="I47" s="77" t="s">
        <v>166</v>
      </c>
      <c r="J47" s="82">
        <v>0.12590000000000001</v>
      </c>
      <c r="K47" s="77" t="s">
        <v>306</v>
      </c>
      <c r="L47" s="79">
        <f t="shared" si="1"/>
        <v>0.74406900000000009</v>
      </c>
      <c r="M47" s="40"/>
      <c r="N47" s="40"/>
      <c r="O47" s="40"/>
      <c r="P47" s="40"/>
      <c r="Q47" s="39"/>
    </row>
    <row r="48" spans="1:17" s="40" customFormat="1" ht="25.5" x14ac:dyDescent="0.2">
      <c r="B48" s="75" t="s">
        <v>246</v>
      </c>
      <c r="C48" s="76"/>
      <c r="D48" s="76" t="s">
        <v>428</v>
      </c>
      <c r="E48" s="76" t="s">
        <v>243</v>
      </c>
      <c r="F48" s="138" t="s">
        <v>190</v>
      </c>
      <c r="G48" s="904" t="s">
        <v>299</v>
      </c>
      <c r="H48" s="904"/>
      <c r="I48" s="77" t="s">
        <v>166</v>
      </c>
      <c r="J48" s="82">
        <v>5.04E-2</v>
      </c>
      <c r="K48" s="77" t="s">
        <v>307</v>
      </c>
      <c r="L48" s="79">
        <f t="shared" si="1"/>
        <v>0.65923200000000004</v>
      </c>
    </row>
    <row r="49" spans="2:12" s="40" customFormat="1" ht="25.5" x14ac:dyDescent="0.2">
      <c r="B49" s="75" t="s">
        <v>246</v>
      </c>
      <c r="C49" s="76"/>
      <c r="D49" s="76" t="s">
        <v>429</v>
      </c>
      <c r="E49" s="76" t="s">
        <v>243</v>
      </c>
      <c r="F49" s="139" t="s">
        <v>191</v>
      </c>
      <c r="G49" s="904" t="s">
        <v>299</v>
      </c>
      <c r="H49" s="904"/>
      <c r="I49" s="77" t="s">
        <v>166</v>
      </c>
      <c r="J49" s="82">
        <v>2.52E-2</v>
      </c>
      <c r="K49" s="77" t="s">
        <v>308</v>
      </c>
      <c r="L49" s="79">
        <f t="shared" si="1"/>
        <v>0.20663999999999999</v>
      </c>
    </row>
    <row r="50" spans="2:12" s="40" customFormat="1" ht="25.5" x14ac:dyDescent="0.2">
      <c r="B50" s="75" t="s">
        <v>246</v>
      </c>
      <c r="C50" s="76"/>
      <c r="D50" s="76" t="s">
        <v>430</v>
      </c>
      <c r="E50" s="76" t="s">
        <v>243</v>
      </c>
      <c r="F50" s="81" t="s">
        <v>171</v>
      </c>
      <c r="G50" s="904" t="s">
        <v>299</v>
      </c>
      <c r="H50" s="904"/>
      <c r="I50" s="77" t="s">
        <v>166</v>
      </c>
      <c r="J50" s="82">
        <v>5.04E-2</v>
      </c>
      <c r="K50" s="77" t="s">
        <v>309</v>
      </c>
      <c r="L50" s="79">
        <f t="shared" si="1"/>
        <v>0.59723999999999999</v>
      </c>
    </row>
    <row r="51" spans="2:12" s="40" customFormat="1" ht="38.25" x14ac:dyDescent="0.25">
      <c r="B51" s="75" t="s">
        <v>246</v>
      </c>
      <c r="C51" s="76"/>
      <c r="D51" s="76" t="s">
        <v>431</v>
      </c>
      <c r="E51" s="76" t="s">
        <v>243</v>
      </c>
      <c r="F51" s="81" t="s">
        <v>173</v>
      </c>
      <c r="G51" s="902" t="s">
        <v>299</v>
      </c>
      <c r="H51" s="903"/>
      <c r="I51" s="77" t="s">
        <v>166</v>
      </c>
      <c r="J51" s="82">
        <v>2.52E-2</v>
      </c>
      <c r="K51" s="77" t="s">
        <v>310</v>
      </c>
      <c r="L51" s="79">
        <f t="shared" si="1"/>
        <v>1.382976</v>
      </c>
    </row>
    <row r="52" spans="2:12" ht="26.25" x14ac:dyDescent="0.25">
      <c r="B52" s="75" t="s">
        <v>246</v>
      </c>
      <c r="C52" s="76"/>
      <c r="D52" s="76" t="s">
        <v>311</v>
      </c>
      <c r="E52" s="76" t="s">
        <v>243</v>
      </c>
      <c r="F52" s="81" t="s">
        <v>183</v>
      </c>
      <c r="G52" s="904" t="s">
        <v>299</v>
      </c>
      <c r="H52" s="904"/>
      <c r="I52" s="77" t="s">
        <v>166</v>
      </c>
      <c r="J52" s="82">
        <v>5.04E-2</v>
      </c>
      <c r="K52" s="77" t="s">
        <v>312</v>
      </c>
      <c r="L52" s="79">
        <f t="shared" si="1"/>
        <v>0.89056800000000014</v>
      </c>
    </row>
    <row r="53" spans="2:12" ht="26.25" x14ac:dyDescent="0.25">
      <c r="B53" s="75" t="s">
        <v>246</v>
      </c>
      <c r="C53" s="76"/>
      <c r="D53" s="76" t="s">
        <v>313</v>
      </c>
      <c r="E53" s="76" t="s">
        <v>243</v>
      </c>
      <c r="F53" s="81" t="s">
        <v>184</v>
      </c>
      <c r="G53" s="904" t="s">
        <v>299</v>
      </c>
      <c r="H53" s="904"/>
      <c r="I53" s="77" t="s">
        <v>166</v>
      </c>
      <c r="J53" s="82">
        <v>2.52E-2</v>
      </c>
      <c r="K53" s="77" t="s">
        <v>314</v>
      </c>
      <c r="L53" s="79">
        <f t="shared" si="1"/>
        <v>1.05714</v>
      </c>
    </row>
    <row r="54" spans="2:12" ht="28.5" customHeight="1" x14ac:dyDescent="0.25">
      <c r="B54" s="75" t="s">
        <v>246</v>
      </c>
      <c r="C54" s="76"/>
      <c r="D54" s="76" t="s">
        <v>315</v>
      </c>
      <c r="E54" s="76" t="s">
        <v>243</v>
      </c>
      <c r="F54" s="80" t="s">
        <v>186</v>
      </c>
      <c r="G54" s="904" t="s">
        <v>299</v>
      </c>
      <c r="H54" s="904"/>
      <c r="I54" s="77" t="s">
        <v>166</v>
      </c>
      <c r="J54" s="82">
        <v>2.52E-2</v>
      </c>
      <c r="K54" s="77" t="s">
        <v>316</v>
      </c>
      <c r="L54" s="79">
        <f t="shared" si="1"/>
        <v>0.27946799999999999</v>
      </c>
    </row>
    <row r="55" spans="2:12" ht="26.25" x14ac:dyDescent="0.25">
      <c r="B55" s="75" t="s">
        <v>246</v>
      </c>
      <c r="C55" s="76"/>
      <c r="D55" s="76" t="s">
        <v>317</v>
      </c>
      <c r="E55" s="76" t="s">
        <v>243</v>
      </c>
      <c r="F55" s="81" t="s">
        <v>193</v>
      </c>
      <c r="G55" s="904" t="s">
        <v>299</v>
      </c>
      <c r="H55" s="904"/>
      <c r="I55" s="77" t="s">
        <v>166</v>
      </c>
      <c r="J55" s="82">
        <v>0.1007</v>
      </c>
      <c r="K55" s="77" t="s">
        <v>318</v>
      </c>
      <c r="L55" s="79">
        <f t="shared" si="1"/>
        <v>8.8132640000000002</v>
      </c>
    </row>
    <row r="56" spans="2:12" ht="26.25" x14ac:dyDescent="0.25">
      <c r="B56" s="75" t="s">
        <v>246</v>
      </c>
      <c r="C56" s="76"/>
      <c r="D56" s="76" t="s">
        <v>319</v>
      </c>
      <c r="E56" s="76" t="s">
        <v>243</v>
      </c>
      <c r="F56" s="81" t="s">
        <v>194</v>
      </c>
      <c r="G56" s="904" t="s">
        <v>299</v>
      </c>
      <c r="H56" s="904"/>
      <c r="I56" s="77" t="s">
        <v>166</v>
      </c>
      <c r="J56" s="82">
        <v>2.52E-2</v>
      </c>
      <c r="K56" s="77" t="s">
        <v>320</v>
      </c>
      <c r="L56" s="79">
        <f t="shared" si="1"/>
        <v>2.0243159999999998</v>
      </c>
    </row>
    <row r="57" spans="2:12" x14ac:dyDescent="0.25">
      <c r="B57" s="75" t="s">
        <v>246</v>
      </c>
      <c r="C57" s="76"/>
      <c r="D57" s="76" t="s">
        <v>321</v>
      </c>
      <c r="E57" s="76" t="s">
        <v>243</v>
      </c>
      <c r="F57" s="81" t="s">
        <v>192</v>
      </c>
      <c r="G57" s="904" t="s">
        <v>287</v>
      </c>
      <c r="H57" s="904"/>
      <c r="I57" s="77" t="s">
        <v>11</v>
      </c>
      <c r="J57" s="82">
        <v>6.7000000000000002E-3</v>
      </c>
      <c r="K57" s="77" t="s">
        <v>322</v>
      </c>
      <c r="L57" s="79">
        <f t="shared" si="1"/>
        <v>0.17560700000000001</v>
      </c>
    </row>
    <row r="58" spans="2:12" ht="30" customHeight="1" x14ac:dyDescent="0.25">
      <c r="B58" s="75" t="s">
        <v>246</v>
      </c>
      <c r="C58" s="76"/>
      <c r="D58" s="76" t="s">
        <v>323</v>
      </c>
      <c r="E58" s="76" t="s">
        <v>243</v>
      </c>
      <c r="F58" s="80" t="s">
        <v>174</v>
      </c>
      <c r="G58" s="902" t="s">
        <v>324</v>
      </c>
      <c r="H58" s="903"/>
      <c r="I58" s="77" t="s">
        <v>6</v>
      </c>
      <c r="J58" s="82">
        <v>3.7456999999999998</v>
      </c>
      <c r="K58" s="77" t="s">
        <v>102</v>
      </c>
      <c r="L58" s="79">
        <f t="shared" si="1"/>
        <v>29.965599999999998</v>
      </c>
    </row>
    <row r="59" spans="2:12" x14ac:dyDescent="0.25">
      <c r="B59" s="75" t="s">
        <v>254</v>
      </c>
      <c r="C59" s="76"/>
      <c r="D59" s="76" t="s">
        <v>325</v>
      </c>
      <c r="E59" s="76" t="s">
        <v>243</v>
      </c>
      <c r="F59" s="80" t="s">
        <v>164</v>
      </c>
      <c r="G59" s="902" t="s">
        <v>256</v>
      </c>
      <c r="H59" s="903"/>
      <c r="I59" s="77" t="s">
        <v>45</v>
      </c>
      <c r="J59" s="82">
        <v>3.9174000000000002</v>
      </c>
      <c r="K59" s="77" t="s">
        <v>326</v>
      </c>
      <c r="L59" s="79">
        <f t="shared" si="1"/>
        <v>17.549952000000001</v>
      </c>
    </row>
    <row r="60" spans="2:12" x14ac:dyDescent="0.25">
      <c r="B60" s="75" t="s">
        <v>254</v>
      </c>
      <c r="C60" s="76"/>
      <c r="D60" s="76" t="s">
        <v>327</v>
      </c>
      <c r="E60" s="76" t="s">
        <v>243</v>
      </c>
      <c r="F60" s="80" t="s">
        <v>163</v>
      </c>
      <c r="G60" s="904" t="s">
        <v>256</v>
      </c>
      <c r="H60" s="904"/>
      <c r="I60" s="77" t="s">
        <v>45</v>
      </c>
      <c r="J60" s="82">
        <v>3.4843999999999999</v>
      </c>
      <c r="K60" s="77" t="s">
        <v>328</v>
      </c>
      <c r="L60" s="79">
        <f t="shared" si="1"/>
        <v>4.8084719999999992</v>
      </c>
    </row>
    <row r="61" spans="2:12" ht="26.25" x14ac:dyDescent="0.25">
      <c r="B61" s="75" t="s">
        <v>254</v>
      </c>
      <c r="C61" s="76"/>
      <c r="D61" s="76" t="s">
        <v>329</v>
      </c>
      <c r="E61" s="76" t="s">
        <v>243</v>
      </c>
      <c r="F61" s="80" t="s">
        <v>169</v>
      </c>
      <c r="G61" s="902" t="s">
        <v>256</v>
      </c>
      <c r="H61" s="903"/>
      <c r="I61" s="77" t="s">
        <v>6</v>
      </c>
      <c r="J61" s="82">
        <v>1</v>
      </c>
      <c r="K61" s="77" t="s">
        <v>330</v>
      </c>
      <c r="L61" s="79">
        <f t="shared" si="1"/>
        <v>49.92</v>
      </c>
    </row>
    <row r="62" spans="2:12" ht="26.25" x14ac:dyDescent="0.25">
      <c r="B62" s="75" t="s">
        <v>254</v>
      </c>
      <c r="C62" s="76"/>
      <c r="D62" s="76" t="s">
        <v>331</v>
      </c>
      <c r="E62" s="76" t="s">
        <v>243</v>
      </c>
      <c r="F62" s="80" t="s">
        <v>168</v>
      </c>
      <c r="G62" s="902" t="s">
        <v>256</v>
      </c>
      <c r="H62" s="903"/>
      <c r="I62" s="77" t="s">
        <v>166</v>
      </c>
      <c r="J62" s="82">
        <v>2.52E-2</v>
      </c>
      <c r="K62" s="77" t="s">
        <v>332</v>
      </c>
      <c r="L62" s="79">
        <f t="shared" si="1"/>
        <v>0.179172</v>
      </c>
    </row>
    <row r="63" spans="2:12" ht="26.25" x14ac:dyDescent="0.25">
      <c r="B63" s="75" t="s">
        <v>254</v>
      </c>
      <c r="C63" s="76"/>
      <c r="D63" s="76" t="s">
        <v>333</v>
      </c>
      <c r="E63" s="76" t="s">
        <v>243</v>
      </c>
      <c r="F63" s="80" t="s">
        <v>167</v>
      </c>
      <c r="G63" s="902" t="s">
        <v>256</v>
      </c>
      <c r="H63" s="903"/>
      <c r="I63" s="77" t="s">
        <v>166</v>
      </c>
      <c r="J63" s="82">
        <v>2.8899999999999999E-2</v>
      </c>
      <c r="K63" s="77" t="s">
        <v>334</v>
      </c>
      <c r="L63" s="79">
        <f t="shared" si="1"/>
        <v>5.4407139999999998</v>
      </c>
    </row>
    <row r="64" spans="2:12" x14ac:dyDescent="0.25">
      <c r="B64" s="75" t="s">
        <v>254</v>
      </c>
      <c r="C64" s="76"/>
      <c r="D64" s="76" t="s">
        <v>335</v>
      </c>
      <c r="E64" s="76" t="s">
        <v>243</v>
      </c>
      <c r="F64" s="80" t="s">
        <v>165</v>
      </c>
      <c r="G64" s="902" t="s">
        <v>256</v>
      </c>
      <c r="H64" s="903"/>
      <c r="I64" s="77" t="s">
        <v>166</v>
      </c>
      <c r="J64" s="82">
        <v>2.8899999999999999E-2</v>
      </c>
      <c r="K64" s="77" t="s">
        <v>336</v>
      </c>
      <c r="L64" s="79">
        <f t="shared" si="1"/>
        <v>5.626252</v>
      </c>
    </row>
    <row r="65" spans="2:12" x14ac:dyDescent="0.25">
      <c r="B65" s="75"/>
      <c r="C65" s="76"/>
      <c r="D65" s="76"/>
      <c r="E65" s="76"/>
      <c r="F65" s="80"/>
      <c r="G65" s="77" t="s">
        <v>262</v>
      </c>
      <c r="H65" s="83">
        <f>I4*L22</f>
        <v>139.86209674999998</v>
      </c>
      <c r="I65" s="899" t="s">
        <v>263</v>
      </c>
      <c r="J65" s="899"/>
      <c r="K65" s="922">
        <f>L22+H65</f>
        <v>699.31048374999989</v>
      </c>
      <c r="L65" s="923"/>
    </row>
    <row r="66" spans="2:12" x14ac:dyDescent="0.25">
      <c r="B66" s="924"/>
      <c r="C66" s="925"/>
      <c r="D66" s="925"/>
      <c r="E66" s="925"/>
      <c r="F66" s="925"/>
      <c r="G66" s="925"/>
      <c r="H66" s="925"/>
      <c r="I66" s="925"/>
      <c r="J66" s="925"/>
      <c r="K66" s="925"/>
      <c r="L66" s="926"/>
    </row>
    <row r="67" spans="2:12" s="34" customFormat="1" ht="15.75" x14ac:dyDescent="0.25">
      <c r="B67" s="70"/>
      <c r="C67" s="71" t="s">
        <v>233</v>
      </c>
      <c r="D67" s="71" t="s">
        <v>234</v>
      </c>
      <c r="E67" s="71" t="s">
        <v>235</v>
      </c>
      <c r="F67" s="86" t="s">
        <v>264</v>
      </c>
      <c r="G67" s="851" t="s">
        <v>237</v>
      </c>
      <c r="H67" s="851"/>
      <c r="I67" s="73" t="s">
        <v>238</v>
      </c>
      <c r="J67" s="73" t="s">
        <v>239</v>
      </c>
      <c r="K67" s="73" t="s">
        <v>240</v>
      </c>
      <c r="L67" s="74" t="s">
        <v>30</v>
      </c>
    </row>
    <row r="68" spans="2:12" ht="24.75" customHeight="1" x14ac:dyDescent="0.25">
      <c r="B68" s="88"/>
      <c r="C68" s="76" t="s">
        <v>9</v>
      </c>
      <c r="D68" s="89"/>
      <c r="E68" s="76" t="s">
        <v>243</v>
      </c>
      <c r="F68" s="90" t="s">
        <v>160</v>
      </c>
      <c r="G68" s="920"/>
      <c r="H68" s="920"/>
      <c r="I68" s="77" t="s">
        <v>6</v>
      </c>
      <c r="J68" s="76">
        <v>1</v>
      </c>
      <c r="K68" s="33">
        <f>L68</f>
        <v>0.46890037400000001</v>
      </c>
      <c r="L68" s="92">
        <f>SUM(L69:L76)</f>
        <v>0.46890037400000001</v>
      </c>
    </row>
    <row r="69" spans="2:12" ht="38.25" x14ac:dyDescent="0.25">
      <c r="B69" s="88"/>
      <c r="C69" s="89"/>
      <c r="D69" s="1" t="s">
        <v>154</v>
      </c>
      <c r="E69" s="76" t="s">
        <v>243</v>
      </c>
      <c r="F69" s="93" t="s">
        <v>148</v>
      </c>
      <c r="G69" s="921" t="s">
        <v>337</v>
      </c>
      <c r="H69" s="921"/>
      <c r="I69" s="1" t="s">
        <v>27</v>
      </c>
      <c r="J69" s="94">
        <v>2.9999999999999997E-4</v>
      </c>
      <c r="K69" s="7">
        <v>142.71</v>
      </c>
      <c r="L69" s="92">
        <f>J69*K69</f>
        <v>4.2812999999999997E-2</v>
      </c>
    </row>
    <row r="70" spans="2:12" ht="38.25" x14ac:dyDescent="0.25">
      <c r="B70" s="88"/>
      <c r="C70" s="89"/>
      <c r="D70" s="1" t="s">
        <v>155</v>
      </c>
      <c r="E70" s="76" t="s">
        <v>243</v>
      </c>
      <c r="F70" s="93" t="s">
        <v>149</v>
      </c>
      <c r="G70" s="921" t="s">
        <v>337</v>
      </c>
      <c r="H70" s="921"/>
      <c r="I70" s="1" t="s">
        <v>28</v>
      </c>
      <c r="J70" s="94">
        <v>7.1000000000000002E-4</v>
      </c>
      <c r="K70" s="12">
        <v>29.5</v>
      </c>
      <c r="L70" s="92">
        <f t="shared" ref="L70:L76" si="2">J70*K70</f>
        <v>2.0945000000000002E-2</v>
      </c>
    </row>
    <row r="71" spans="2:12" ht="25.5" x14ac:dyDescent="0.25">
      <c r="B71" s="88"/>
      <c r="C71" s="89"/>
      <c r="D71" s="1" t="s">
        <v>49</v>
      </c>
      <c r="E71" s="76" t="s">
        <v>243</v>
      </c>
      <c r="F71" s="93" t="s">
        <v>50</v>
      </c>
      <c r="G71" s="921" t="s">
        <v>337</v>
      </c>
      <c r="H71" s="921"/>
      <c r="I71" s="1" t="s">
        <v>27</v>
      </c>
      <c r="J71" s="94">
        <v>2.9999999999999997E-4</v>
      </c>
      <c r="K71" s="12">
        <v>144.65</v>
      </c>
      <c r="L71" s="92">
        <f t="shared" si="2"/>
        <v>4.3394999999999996E-2</v>
      </c>
    </row>
    <row r="72" spans="2:12" ht="25.5" x14ac:dyDescent="0.25">
      <c r="B72" s="88"/>
      <c r="C72" s="89"/>
      <c r="D72" s="1" t="s">
        <v>156</v>
      </c>
      <c r="E72" s="76" t="s">
        <v>243</v>
      </c>
      <c r="F72" s="93" t="s">
        <v>150</v>
      </c>
      <c r="G72" s="921" t="s">
        <v>337</v>
      </c>
      <c r="H72" s="921"/>
      <c r="I72" s="1" t="s">
        <v>28</v>
      </c>
      <c r="J72" s="94">
        <v>8.3230000000000001E-4</v>
      </c>
      <c r="K72" s="12">
        <v>54.98</v>
      </c>
      <c r="L72" s="92">
        <f t="shared" si="2"/>
        <v>4.5759853999999996E-2</v>
      </c>
    </row>
    <row r="73" spans="2:12" ht="38.25" x14ac:dyDescent="0.25">
      <c r="B73" s="88"/>
      <c r="C73" s="89"/>
      <c r="D73" s="1" t="s">
        <v>157</v>
      </c>
      <c r="E73" s="76" t="s">
        <v>243</v>
      </c>
      <c r="F73" s="93" t="s">
        <v>151</v>
      </c>
      <c r="G73" s="921" t="s">
        <v>337</v>
      </c>
      <c r="H73" s="921"/>
      <c r="I73" s="1" t="s">
        <v>27</v>
      </c>
      <c r="J73" s="94">
        <v>7.1000000000000002E-4</v>
      </c>
      <c r="K73" s="12">
        <v>109.04</v>
      </c>
      <c r="L73" s="92">
        <f t="shared" si="2"/>
        <v>7.7418400000000012E-2</v>
      </c>
    </row>
    <row r="74" spans="2:12" x14ac:dyDescent="0.25">
      <c r="B74" s="88"/>
      <c r="C74" s="89"/>
      <c r="D74" s="1" t="s">
        <v>18</v>
      </c>
      <c r="E74" s="76" t="s">
        <v>243</v>
      </c>
      <c r="F74" s="93" t="s">
        <v>17</v>
      </c>
      <c r="G74" s="932"/>
      <c r="H74" s="932"/>
      <c r="I74" s="1" t="s">
        <v>48</v>
      </c>
      <c r="J74" s="94">
        <v>1.07396E-2</v>
      </c>
      <c r="K74" s="12">
        <v>11.96</v>
      </c>
      <c r="L74" s="92">
        <f t="shared" si="2"/>
        <v>0.12844561600000001</v>
      </c>
    </row>
    <row r="75" spans="2:12" ht="27.75" customHeight="1" x14ac:dyDescent="0.25">
      <c r="B75" s="88"/>
      <c r="C75" s="89"/>
      <c r="D75" s="1" t="s">
        <v>158</v>
      </c>
      <c r="E75" s="76" t="s">
        <v>243</v>
      </c>
      <c r="F75" s="93" t="s">
        <v>152</v>
      </c>
      <c r="G75" s="921" t="s">
        <v>337</v>
      </c>
      <c r="H75" s="921"/>
      <c r="I75" s="1" t="s">
        <v>27</v>
      </c>
      <c r="J75" s="94">
        <v>1E-3</v>
      </c>
      <c r="K75" s="12">
        <v>72.59</v>
      </c>
      <c r="L75" s="92">
        <f t="shared" si="2"/>
        <v>7.2590000000000002E-2</v>
      </c>
    </row>
    <row r="76" spans="2:12" ht="27" customHeight="1" x14ac:dyDescent="0.25">
      <c r="B76" s="88"/>
      <c r="C76" s="89"/>
      <c r="D76" s="1" t="s">
        <v>159</v>
      </c>
      <c r="E76" s="76" t="s">
        <v>243</v>
      </c>
      <c r="F76" s="93" t="s">
        <v>153</v>
      </c>
      <c r="G76" s="921" t="s">
        <v>337</v>
      </c>
      <c r="H76" s="921"/>
      <c r="I76" s="1" t="s">
        <v>28</v>
      </c>
      <c r="J76" s="94">
        <v>1.3424000000000001E-3</v>
      </c>
      <c r="K76" s="12">
        <v>27.96</v>
      </c>
      <c r="L76" s="92">
        <f t="shared" si="2"/>
        <v>3.7533504000000002E-2</v>
      </c>
    </row>
    <row r="77" spans="2:12" ht="16.5" customHeight="1" x14ac:dyDescent="0.25">
      <c r="B77" s="88"/>
      <c r="C77" s="89"/>
      <c r="D77" s="89"/>
      <c r="E77" s="89"/>
      <c r="F77" s="89"/>
      <c r="G77" s="77" t="s">
        <v>262</v>
      </c>
      <c r="H77" s="83">
        <f>I4*L68</f>
        <v>0.1172250935</v>
      </c>
      <c r="I77" s="927" t="s">
        <v>263</v>
      </c>
      <c r="J77" s="928"/>
      <c r="K77" s="929">
        <f>L68+H77</f>
        <v>0.58612546750000005</v>
      </c>
      <c r="L77" s="930"/>
    </row>
    <row r="78" spans="2:12" x14ac:dyDescent="0.25"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7"/>
    </row>
    <row r="79" spans="2:12" s="34" customFormat="1" x14ac:dyDescent="0.25">
      <c r="B79" s="98"/>
      <c r="C79" s="99" t="s">
        <v>233</v>
      </c>
      <c r="D79" s="99" t="s">
        <v>234</v>
      </c>
      <c r="E79" s="99" t="s">
        <v>235</v>
      </c>
      <c r="F79" s="100" t="s">
        <v>264</v>
      </c>
      <c r="G79" s="931" t="s">
        <v>237</v>
      </c>
      <c r="H79" s="931"/>
      <c r="I79" s="101" t="s">
        <v>238</v>
      </c>
      <c r="J79" s="101" t="s">
        <v>239</v>
      </c>
      <c r="K79" s="101" t="s">
        <v>240</v>
      </c>
      <c r="L79" s="102" t="s">
        <v>30</v>
      </c>
    </row>
    <row r="80" spans="2:12" s="34" customFormat="1" x14ac:dyDescent="0.25">
      <c r="B80" s="161" t="s">
        <v>241</v>
      </c>
      <c r="C80" s="130" t="s">
        <v>10</v>
      </c>
      <c r="D80" s="76"/>
      <c r="E80" s="130" t="s">
        <v>338</v>
      </c>
      <c r="F80" s="87" t="s">
        <v>339</v>
      </c>
      <c r="G80" s="895" t="s">
        <v>340</v>
      </c>
      <c r="H80" s="895"/>
      <c r="I80" s="77" t="s">
        <v>6</v>
      </c>
      <c r="J80" s="77">
        <v>1</v>
      </c>
      <c r="K80" s="82">
        <f>L80</f>
        <v>1.2001150000000003</v>
      </c>
      <c r="L80" s="79">
        <f>SUM(L81:L88)</f>
        <v>1.2001150000000003</v>
      </c>
    </row>
    <row r="81" spans="2:12" s="34" customFormat="1" x14ac:dyDescent="0.25">
      <c r="B81" s="75" t="s">
        <v>246</v>
      </c>
      <c r="C81" s="76"/>
      <c r="D81" s="76" t="s">
        <v>247</v>
      </c>
      <c r="E81" s="76" t="s">
        <v>338</v>
      </c>
      <c r="F81" s="80" t="s">
        <v>17</v>
      </c>
      <c r="G81" s="895" t="s">
        <v>248</v>
      </c>
      <c r="H81" s="895"/>
      <c r="I81" s="77" t="s">
        <v>48</v>
      </c>
      <c r="J81" s="77">
        <v>0.01</v>
      </c>
      <c r="K81" s="77" t="s">
        <v>341</v>
      </c>
      <c r="L81" s="79">
        <f t="shared" ref="L81:L88" si="3">J81*K81</f>
        <v>0.10929999999999999</v>
      </c>
    </row>
    <row r="82" spans="2:12" s="34" customFormat="1" ht="26.25" x14ac:dyDescent="0.25">
      <c r="B82" s="75" t="s">
        <v>246</v>
      </c>
      <c r="C82" s="76"/>
      <c r="D82" s="76" t="s">
        <v>342</v>
      </c>
      <c r="E82" s="76" t="s">
        <v>338</v>
      </c>
      <c r="F82" s="80" t="s">
        <v>152</v>
      </c>
      <c r="G82" s="895" t="s">
        <v>337</v>
      </c>
      <c r="H82" s="895"/>
      <c r="I82" s="77" t="s">
        <v>27</v>
      </c>
      <c r="J82" s="77">
        <v>1.5E-3</v>
      </c>
      <c r="K82" s="77">
        <v>64.489999999999995</v>
      </c>
      <c r="L82" s="79">
        <f t="shared" si="3"/>
        <v>9.6734999999999988E-2</v>
      </c>
    </row>
    <row r="83" spans="2:12" s="34" customFormat="1" ht="26.25" x14ac:dyDescent="0.25">
      <c r="B83" s="75" t="s">
        <v>246</v>
      </c>
      <c r="C83" s="76"/>
      <c r="D83" s="76" t="s">
        <v>343</v>
      </c>
      <c r="E83" s="76" t="s">
        <v>338</v>
      </c>
      <c r="F83" s="80" t="s">
        <v>150</v>
      </c>
      <c r="G83" s="895" t="s">
        <v>337</v>
      </c>
      <c r="H83" s="895"/>
      <c r="I83" s="77" t="s">
        <v>28</v>
      </c>
      <c r="J83" s="77">
        <v>8.0000000000000004E-4</v>
      </c>
      <c r="K83" s="77">
        <v>41.95</v>
      </c>
      <c r="L83" s="79">
        <f t="shared" si="3"/>
        <v>3.3560000000000006E-2</v>
      </c>
    </row>
    <row r="84" spans="2:12" s="34" customFormat="1" ht="26.25" x14ac:dyDescent="0.25">
      <c r="B84" s="75" t="s">
        <v>246</v>
      </c>
      <c r="C84" s="76"/>
      <c r="D84" s="76" t="s">
        <v>344</v>
      </c>
      <c r="E84" s="76" t="s">
        <v>338</v>
      </c>
      <c r="F84" s="80" t="s">
        <v>153</v>
      </c>
      <c r="G84" s="895" t="s">
        <v>337</v>
      </c>
      <c r="H84" s="895"/>
      <c r="I84" s="77" t="s">
        <v>28</v>
      </c>
      <c r="J84" s="77">
        <v>1.5E-3</v>
      </c>
      <c r="K84" s="77" t="s">
        <v>345</v>
      </c>
      <c r="L84" s="79">
        <f t="shared" si="3"/>
        <v>3.3239999999999999E-2</v>
      </c>
    </row>
    <row r="85" spans="2:12" s="34" customFormat="1" ht="27" customHeight="1" x14ac:dyDescent="0.25">
      <c r="B85" s="75" t="s">
        <v>246</v>
      </c>
      <c r="C85" s="76"/>
      <c r="D85" s="76" t="s">
        <v>346</v>
      </c>
      <c r="E85" s="76" t="s">
        <v>338</v>
      </c>
      <c r="F85" s="80" t="s">
        <v>148</v>
      </c>
      <c r="G85" s="895" t="s">
        <v>337</v>
      </c>
      <c r="H85" s="895"/>
      <c r="I85" s="77" t="s">
        <v>27</v>
      </c>
      <c r="J85" s="77">
        <v>2.5000000000000001E-3</v>
      </c>
      <c r="K85" s="77">
        <v>117.44</v>
      </c>
      <c r="L85" s="79">
        <f t="shared" si="3"/>
        <v>0.29360000000000003</v>
      </c>
    </row>
    <row r="86" spans="2:12" s="34" customFormat="1" ht="26.25" x14ac:dyDescent="0.25">
      <c r="B86" s="75" t="s">
        <v>246</v>
      </c>
      <c r="C86" s="76"/>
      <c r="D86" s="76" t="s">
        <v>347</v>
      </c>
      <c r="E86" s="143" t="s">
        <v>338</v>
      </c>
      <c r="F86" s="80" t="s">
        <v>50</v>
      </c>
      <c r="G86" s="895" t="s">
        <v>337</v>
      </c>
      <c r="H86" s="895"/>
      <c r="I86" s="77" t="s">
        <v>27</v>
      </c>
      <c r="J86" s="77">
        <v>2.5000000000000001E-3</v>
      </c>
      <c r="K86" s="77">
        <v>112.4</v>
      </c>
      <c r="L86" s="79">
        <f t="shared" si="3"/>
        <v>0.28100000000000003</v>
      </c>
    </row>
    <row r="87" spans="2:12" s="34" customFormat="1" ht="39" x14ac:dyDescent="0.25">
      <c r="B87" s="75" t="s">
        <v>246</v>
      </c>
      <c r="C87" s="76"/>
      <c r="D87" s="76" t="s">
        <v>348</v>
      </c>
      <c r="E87" s="76" t="s">
        <v>338</v>
      </c>
      <c r="F87" s="80" t="s">
        <v>151</v>
      </c>
      <c r="G87" s="895" t="s">
        <v>337</v>
      </c>
      <c r="H87" s="895"/>
      <c r="I87" s="77" t="s">
        <v>27</v>
      </c>
      <c r="J87" s="77">
        <v>2.8E-3</v>
      </c>
      <c r="K87" s="77" t="s">
        <v>349</v>
      </c>
      <c r="L87" s="79">
        <f t="shared" si="3"/>
        <v>0.321048</v>
      </c>
    </row>
    <row r="88" spans="2:12" s="34" customFormat="1" ht="27" customHeight="1" x14ac:dyDescent="0.25">
      <c r="B88" s="75" t="s">
        <v>246</v>
      </c>
      <c r="C88" s="76"/>
      <c r="D88" s="76" t="s">
        <v>350</v>
      </c>
      <c r="E88" s="76" t="s">
        <v>338</v>
      </c>
      <c r="F88" s="80" t="s">
        <v>149</v>
      </c>
      <c r="G88" s="895" t="s">
        <v>337</v>
      </c>
      <c r="H88" s="895"/>
      <c r="I88" s="77" t="s">
        <v>28</v>
      </c>
      <c r="J88" s="77">
        <v>1.1999999999999999E-3</v>
      </c>
      <c r="K88" s="77" t="s">
        <v>351</v>
      </c>
      <c r="L88" s="79">
        <f t="shared" si="3"/>
        <v>3.1631999999999993E-2</v>
      </c>
    </row>
    <row r="89" spans="2:12" s="34" customFormat="1" ht="29.25" customHeight="1" x14ac:dyDescent="0.25">
      <c r="B89" s="75"/>
      <c r="C89" s="76"/>
      <c r="D89" s="76"/>
      <c r="E89" s="76"/>
      <c r="F89" s="80"/>
      <c r="G89" s="77" t="s">
        <v>262</v>
      </c>
      <c r="H89" s="82">
        <f>0.25*L80</f>
        <v>0.30002875000000007</v>
      </c>
      <c r="I89" s="899" t="s">
        <v>263</v>
      </c>
      <c r="J89" s="899"/>
      <c r="K89" s="933">
        <f>L80+H89</f>
        <v>1.5001437500000003</v>
      </c>
      <c r="L89" s="934"/>
    </row>
    <row r="90" spans="2:12" s="34" customFormat="1" x14ac:dyDescent="0.25">
      <c r="B90" s="925"/>
      <c r="C90" s="925"/>
      <c r="D90" s="925"/>
      <c r="E90" s="925"/>
      <c r="F90" s="925"/>
      <c r="G90" s="925"/>
      <c r="H90" s="925"/>
      <c r="I90" s="925"/>
      <c r="J90" s="925"/>
      <c r="K90" s="925"/>
      <c r="L90" s="926"/>
    </row>
    <row r="91" spans="2:12" s="34" customFormat="1" ht="15.75" x14ac:dyDescent="0.25">
      <c r="B91" s="103"/>
      <c r="C91" s="71" t="s">
        <v>233</v>
      </c>
      <c r="D91" s="71" t="s">
        <v>234</v>
      </c>
      <c r="E91" s="71" t="s">
        <v>235</v>
      </c>
      <c r="F91" s="86" t="s">
        <v>264</v>
      </c>
      <c r="G91" s="875" t="s">
        <v>237</v>
      </c>
      <c r="H91" s="876"/>
      <c r="I91" s="73" t="s">
        <v>238</v>
      </c>
      <c r="J91" s="73" t="s">
        <v>239</v>
      </c>
      <c r="K91" s="73" t="s">
        <v>240</v>
      </c>
      <c r="L91" s="74" t="s">
        <v>30</v>
      </c>
    </row>
    <row r="92" spans="2:12" s="34" customFormat="1" ht="30" customHeight="1" x14ac:dyDescent="0.25">
      <c r="B92" s="161" t="s">
        <v>241</v>
      </c>
      <c r="C92" s="130" t="s">
        <v>19</v>
      </c>
      <c r="D92" s="76">
        <v>5915321</v>
      </c>
      <c r="E92" s="76" t="s">
        <v>338</v>
      </c>
      <c r="F92" s="87" t="s">
        <v>352</v>
      </c>
      <c r="G92" s="895" t="s">
        <v>353</v>
      </c>
      <c r="H92" s="895"/>
      <c r="I92" s="77" t="s">
        <v>354</v>
      </c>
      <c r="J92" s="77">
        <v>1</v>
      </c>
      <c r="K92" s="82">
        <f>L92</f>
        <v>0.61037399999999986</v>
      </c>
      <c r="L92" s="79">
        <f>SUM(L93:L94)</f>
        <v>0.61037399999999986</v>
      </c>
    </row>
    <row r="93" spans="2:12" s="34" customFormat="1" ht="39" x14ac:dyDescent="0.25">
      <c r="B93" s="75" t="s">
        <v>246</v>
      </c>
      <c r="C93" s="76"/>
      <c r="D93" s="76" t="s">
        <v>355</v>
      </c>
      <c r="E93" s="76" t="s">
        <v>338</v>
      </c>
      <c r="F93" s="80" t="s">
        <v>25</v>
      </c>
      <c r="G93" s="895" t="s">
        <v>337</v>
      </c>
      <c r="H93" s="895"/>
      <c r="I93" s="77" t="s">
        <v>27</v>
      </c>
      <c r="J93" s="77">
        <v>5.3499999999999997E-3</v>
      </c>
      <c r="K93" s="77">
        <v>112.32</v>
      </c>
      <c r="L93" s="79">
        <f t="shared" ref="L93:L94" si="4">J93*K93</f>
        <v>0.60091199999999989</v>
      </c>
    </row>
    <row r="94" spans="2:12" ht="39" x14ac:dyDescent="0.25">
      <c r="B94" s="75" t="s">
        <v>246</v>
      </c>
      <c r="C94" s="76"/>
      <c r="D94" s="76" t="s">
        <v>356</v>
      </c>
      <c r="E94" s="76" t="s">
        <v>338</v>
      </c>
      <c r="F94" s="80" t="s">
        <v>26</v>
      </c>
      <c r="G94" s="895" t="s">
        <v>337</v>
      </c>
      <c r="H94" s="895"/>
      <c r="I94" s="77" t="s">
        <v>28</v>
      </c>
      <c r="J94" s="77">
        <v>7.6000000000000004E-4</v>
      </c>
      <c r="K94" s="77">
        <v>12.45</v>
      </c>
      <c r="L94" s="79">
        <f t="shared" si="4"/>
        <v>9.4619999999999999E-3</v>
      </c>
    </row>
    <row r="95" spans="2:12" ht="18" customHeight="1" x14ac:dyDescent="0.25">
      <c r="B95" s="75"/>
      <c r="C95" s="76"/>
      <c r="D95" s="76"/>
      <c r="E95" s="76"/>
      <c r="F95" s="80"/>
      <c r="G95" s="77" t="s">
        <v>262</v>
      </c>
      <c r="H95" s="83">
        <f>0.25*L92</f>
        <v>0.15259349999999997</v>
      </c>
      <c r="I95" s="899" t="s">
        <v>263</v>
      </c>
      <c r="J95" s="899"/>
      <c r="K95" s="933">
        <f>L92+H95</f>
        <v>0.7629674999999998</v>
      </c>
      <c r="L95" s="934"/>
    </row>
    <row r="96" spans="2:12" x14ac:dyDescent="0.25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104"/>
    </row>
    <row r="97" spans="1:12" ht="17.25" customHeight="1" x14ac:dyDescent="0.25">
      <c r="B97" s="103"/>
      <c r="C97" s="71" t="s">
        <v>233</v>
      </c>
      <c r="D97" s="71" t="s">
        <v>234</v>
      </c>
      <c r="E97" s="71" t="s">
        <v>235</v>
      </c>
      <c r="F97" s="86" t="s">
        <v>264</v>
      </c>
      <c r="G97" s="851" t="s">
        <v>237</v>
      </c>
      <c r="H97" s="851"/>
      <c r="I97" s="73" t="s">
        <v>238</v>
      </c>
      <c r="J97" s="73" t="s">
        <v>239</v>
      </c>
      <c r="K97" s="73" t="s">
        <v>240</v>
      </c>
      <c r="L97" s="74" t="s">
        <v>30</v>
      </c>
    </row>
    <row r="98" spans="1:12" ht="18" customHeight="1" x14ac:dyDescent="0.25">
      <c r="B98" s="130" t="s">
        <v>241</v>
      </c>
      <c r="C98" s="76" t="s">
        <v>13</v>
      </c>
      <c r="D98" s="76" t="s">
        <v>201</v>
      </c>
      <c r="E98" s="76" t="s">
        <v>338</v>
      </c>
      <c r="F98" s="144" t="s">
        <v>198</v>
      </c>
      <c r="G98" s="895" t="s">
        <v>340</v>
      </c>
      <c r="H98" s="895"/>
      <c r="I98" s="77" t="s">
        <v>6</v>
      </c>
      <c r="J98" s="77">
        <v>1</v>
      </c>
      <c r="K98" s="83">
        <f>L98</f>
        <v>8.3370767808333337</v>
      </c>
      <c r="L98" s="79">
        <f>L118+L119</f>
        <v>8.3370767808333337</v>
      </c>
    </row>
    <row r="99" spans="1:12" x14ac:dyDescent="0.25">
      <c r="B99" s="75"/>
      <c r="C99" s="76"/>
      <c r="D99" s="76"/>
      <c r="E99" s="76" t="s">
        <v>357</v>
      </c>
      <c r="F99" s="80"/>
      <c r="G99" s="77"/>
      <c r="H99" s="77"/>
      <c r="I99" s="77"/>
      <c r="J99" s="77"/>
      <c r="K99" s="83"/>
      <c r="L99" s="79"/>
    </row>
    <row r="100" spans="1:12" x14ac:dyDescent="0.25">
      <c r="B100" s="75"/>
      <c r="C100" s="76"/>
      <c r="D100" s="76" t="s">
        <v>358</v>
      </c>
      <c r="E100" s="76" t="s">
        <v>338</v>
      </c>
      <c r="F100" s="80" t="s">
        <v>359</v>
      </c>
      <c r="G100" s="77"/>
      <c r="H100" s="77"/>
      <c r="I100" s="77"/>
      <c r="J100" s="77">
        <v>1</v>
      </c>
      <c r="K100" s="83">
        <v>126.27</v>
      </c>
      <c r="L100" s="79">
        <f t="shared" ref="L100:L102" si="5">J100*K100</f>
        <v>126.27</v>
      </c>
    </row>
    <row r="101" spans="1:12" x14ac:dyDescent="0.25">
      <c r="B101" s="75"/>
      <c r="C101" s="76"/>
      <c r="D101" s="76" t="s">
        <v>360</v>
      </c>
      <c r="E101" s="76" t="s">
        <v>338</v>
      </c>
      <c r="F101" s="80" t="s">
        <v>361</v>
      </c>
      <c r="G101" s="77"/>
      <c r="H101" s="77"/>
      <c r="I101" s="77"/>
      <c r="J101" s="77">
        <v>1</v>
      </c>
      <c r="K101" s="83">
        <v>60.2</v>
      </c>
      <c r="L101" s="79">
        <f t="shared" si="5"/>
        <v>60.2</v>
      </c>
    </row>
    <row r="102" spans="1:12" s="32" customFormat="1" x14ac:dyDescent="0.25">
      <c r="A102" s="34"/>
      <c r="B102" s="75"/>
      <c r="C102" s="76"/>
      <c r="D102" s="76" t="s">
        <v>362</v>
      </c>
      <c r="E102" s="76" t="s">
        <v>338</v>
      </c>
      <c r="F102" s="80" t="s">
        <v>363</v>
      </c>
      <c r="G102" s="77"/>
      <c r="H102" s="77"/>
      <c r="I102" s="77"/>
      <c r="J102" s="77">
        <v>1</v>
      </c>
      <c r="K102" s="83">
        <v>89.01</v>
      </c>
      <c r="L102" s="79">
        <f t="shared" si="5"/>
        <v>89.01</v>
      </c>
    </row>
    <row r="103" spans="1:12" s="32" customFormat="1" x14ac:dyDescent="0.25">
      <c r="A103" s="34"/>
      <c r="B103" s="75"/>
      <c r="C103" s="76"/>
      <c r="D103" s="76"/>
      <c r="E103" s="76"/>
      <c r="F103" s="80"/>
      <c r="G103" s="77"/>
      <c r="H103" s="77"/>
      <c r="I103" s="935" t="s">
        <v>364</v>
      </c>
      <c r="J103" s="936"/>
      <c r="K103" s="937"/>
      <c r="L103" s="79">
        <f>SUM(L100:L102)</f>
        <v>275.48</v>
      </c>
    </row>
    <row r="104" spans="1:12" s="32" customFormat="1" ht="18" customHeight="1" x14ac:dyDescent="0.25">
      <c r="A104" s="34"/>
      <c r="B104" s="75"/>
      <c r="C104" s="76"/>
      <c r="D104" s="76"/>
      <c r="E104" s="76" t="s">
        <v>365</v>
      </c>
      <c r="F104" s="80"/>
      <c r="G104" s="77"/>
      <c r="H104" s="77"/>
      <c r="I104" s="77"/>
      <c r="J104" s="77"/>
      <c r="K104" s="83"/>
      <c r="L104" s="79"/>
    </row>
    <row r="105" spans="1:12" s="32" customFormat="1" x14ac:dyDescent="0.25">
      <c r="A105" s="34"/>
      <c r="B105" s="75"/>
      <c r="C105" s="76"/>
      <c r="D105" s="76" t="s">
        <v>366</v>
      </c>
      <c r="E105" s="76" t="s">
        <v>338</v>
      </c>
      <c r="F105" s="80" t="s">
        <v>367</v>
      </c>
      <c r="G105" s="895"/>
      <c r="H105" s="895"/>
      <c r="I105" s="106"/>
      <c r="J105" s="107">
        <v>1</v>
      </c>
      <c r="K105" s="77">
        <v>29.46</v>
      </c>
      <c r="L105" s="79">
        <f t="shared" ref="L105:L106" si="6">J105*K105</f>
        <v>29.46</v>
      </c>
    </row>
    <row r="106" spans="1:12" s="32" customFormat="1" x14ac:dyDescent="0.25">
      <c r="A106" s="34"/>
      <c r="B106" s="75"/>
      <c r="C106" s="76"/>
      <c r="D106" s="76" t="s">
        <v>368</v>
      </c>
      <c r="E106" s="76" t="s">
        <v>338</v>
      </c>
      <c r="F106" s="80" t="s">
        <v>369</v>
      </c>
      <c r="G106" s="895"/>
      <c r="H106" s="895"/>
      <c r="I106" s="106"/>
      <c r="J106" s="107">
        <v>3</v>
      </c>
      <c r="K106" s="77">
        <v>9.61</v>
      </c>
      <c r="L106" s="79">
        <f t="shared" si="6"/>
        <v>28.83</v>
      </c>
    </row>
    <row r="107" spans="1:12" s="32" customFormat="1" x14ac:dyDescent="0.25">
      <c r="A107" s="34"/>
      <c r="B107" s="75"/>
      <c r="C107" s="76"/>
      <c r="D107" s="76"/>
      <c r="E107" s="76"/>
      <c r="F107" s="80"/>
      <c r="G107" s="77"/>
      <c r="H107" s="77"/>
      <c r="I107" s="942" t="s">
        <v>370</v>
      </c>
      <c r="J107" s="943"/>
      <c r="K107" s="944"/>
      <c r="L107" s="79">
        <f>SUM(L105:L106)</f>
        <v>58.29</v>
      </c>
    </row>
    <row r="108" spans="1:12" s="32" customFormat="1" x14ac:dyDescent="0.25">
      <c r="A108" s="34"/>
      <c r="B108" s="75"/>
      <c r="C108" s="76"/>
      <c r="D108" s="76"/>
      <c r="E108" s="76"/>
      <c r="F108" s="80"/>
      <c r="G108" s="895"/>
      <c r="H108" s="895"/>
      <c r="I108" s="938" t="s">
        <v>371</v>
      </c>
      <c r="J108" s="939"/>
      <c r="K108" s="108">
        <v>0.2051</v>
      </c>
      <c r="L108" s="79">
        <f>K108*L107</f>
        <v>11.955279000000001</v>
      </c>
    </row>
    <row r="109" spans="1:12" s="32" customFormat="1" x14ac:dyDescent="0.25">
      <c r="A109" s="34"/>
      <c r="B109" s="75"/>
      <c r="C109" s="76"/>
      <c r="D109" s="76"/>
      <c r="E109" s="76"/>
      <c r="F109" s="80"/>
      <c r="G109" s="77"/>
      <c r="H109" s="77"/>
      <c r="I109" s="106"/>
      <c r="J109" s="938" t="s">
        <v>372</v>
      </c>
      <c r="K109" s="939"/>
      <c r="L109" s="79">
        <f>L103+L107+L108</f>
        <v>345.72527900000006</v>
      </c>
    </row>
    <row r="110" spans="1:12" s="32" customFormat="1" x14ac:dyDescent="0.25">
      <c r="A110" s="34"/>
      <c r="B110" s="75"/>
      <c r="C110" s="76"/>
      <c r="D110" s="76"/>
      <c r="E110" s="76"/>
      <c r="F110" s="80"/>
      <c r="G110" s="77"/>
      <c r="H110" s="77"/>
      <c r="I110" s="106"/>
      <c r="J110" s="938" t="s">
        <v>373</v>
      </c>
      <c r="K110" s="939"/>
      <c r="L110" s="79">
        <f>L109/60</f>
        <v>5.7620879833333341</v>
      </c>
    </row>
    <row r="111" spans="1:12" s="32" customFormat="1" x14ac:dyDescent="0.25">
      <c r="A111" s="34"/>
      <c r="B111" s="75"/>
      <c r="C111" s="76"/>
      <c r="D111" s="76"/>
      <c r="E111" s="76" t="s">
        <v>374</v>
      </c>
      <c r="F111" s="80"/>
      <c r="G111" s="77"/>
      <c r="H111" s="77"/>
      <c r="I111" s="106"/>
      <c r="J111" s="107"/>
      <c r="K111" s="108"/>
      <c r="L111" s="79"/>
    </row>
    <row r="112" spans="1:12" s="34" customFormat="1" x14ac:dyDescent="0.25">
      <c r="B112" s="75"/>
      <c r="C112" s="76"/>
      <c r="D112" s="76" t="s">
        <v>375</v>
      </c>
      <c r="E112" s="76" t="s">
        <v>338</v>
      </c>
      <c r="F112" s="112" t="s">
        <v>376</v>
      </c>
      <c r="G112" s="77"/>
      <c r="H112" s="77"/>
      <c r="I112" s="106" t="s">
        <v>11</v>
      </c>
      <c r="J112" s="107">
        <v>1</v>
      </c>
      <c r="K112" s="82">
        <v>0.01</v>
      </c>
      <c r="L112" s="79">
        <f t="shared" ref="L112" si="7">J112*K112</f>
        <v>0.01</v>
      </c>
    </row>
    <row r="113" spans="2:12" x14ac:dyDescent="0.25">
      <c r="B113" s="75"/>
      <c r="C113" s="76"/>
      <c r="D113" s="76"/>
      <c r="E113" s="76"/>
      <c r="F113" s="80"/>
      <c r="G113" s="77"/>
      <c r="H113" s="77"/>
      <c r="I113" s="106"/>
      <c r="J113" s="938" t="s">
        <v>377</v>
      </c>
      <c r="K113" s="939"/>
      <c r="L113" s="79">
        <f>L112</f>
        <v>0.01</v>
      </c>
    </row>
    <row r="114" spans="2:12" ht="17.25" customHeight="1" x14ac:dyDescent="0.25">
      <c r="B114" s="75"/>
      <c r="C114" s="76"/>
      <c r="D114" s="76"/>
      <c r="E114" s="76" t="s">
        <v>378</v>
      </c>
      <c r="F114" s="80"/>
      <c r="G114" s="77"/>
      <c r="H114" s="77"/>
      <c r="I114" s="106"/>
      <c r="J114" s="109"/>
      <c r="K114" s="110"/>
      <c r="L114" s="79"/>
    </row>
    <row r="115" spans="2:12" ht="18" customHeight="1" x14ac:dyDescent="0.25">
      <c r="B115" s="75"/>
      <c r="C115" s="76"/>
      <c r="D115" s="76" t="s">
        <v>379</v>
      </c>
      <c r="E115" s="76" t="s">
        <v>338</v>
      </c>
      <c r="F115" s="145" t="s">
        <v>380</v>
      </c>
      <c r="G115" s="77"/>
      <c r="H115" s="77"/>
      <c r="I115" s="106"/>
      <c r="J115" s="107">
        <v>0.71599999999999997</v>
      </c>
      <c r="K115" s="83">
        <v>0.73399999999999999</v>
      </c>
      <c r="L115" s="79">
        <f t="shared" ref="L115:L116" si="8">J115*K115</f>
        <v>0.52554400000000001</v>
      </c>
    </row>
    <row r="116" spans="2:12" x14ac:dyDescent="0.25">
      <c r="B116" s="75"/>
      <c r="C116" s="76"/>
      <c r="D116" s="76" t="s">
        <v>381</v>
      </c>
      <c r="E116" s="76" t="s">
        <v>338</v>
      </c>
      <c r="F116" s="80" t="s">
        <v>382</v>
      </c>
      <c r="G116" s="77"/>
      <c r="H116" s="77"/>
      <c r="I116" s="106"/>
      <c r="J116" s="107">
        <v>0.26</v>
      </c>
      <c r="K116" s="83">
        <v>3.7</v>
      </c>
      <c r="L116" s="79">
        <f t="shared" si="8"/>
        <v>0.96200000000000008</v>
      </c>
    </row>
    <row r="117" spans="2:12" x14ac:dyDescent="0.25">
      <c r="B117" s="75"/>
      <c r="C117" s="76"/>
      <c r="D117" s="76"/>
      <c r="E117" s="76"/>
      <c r="F117" s="80"/>
      <c r="G117" s="77"/>
      <c r="H117" s="77"/>
      <c r="I117" s="106"/>
      <c r="J117" s="938" t="s">
        <v>383</v>
      </c>
      <c r="K117" s="939"/>
      <c r="L117" s="79">
        <f>SUM(L115:L116)</f>
        <v>1.4875440000000002</v>
      </c>
    </row>
    <row r="118" spans="2:12" x14ac:dyDescent="0.25">
      <c r="B118" s="75"/>
      <c r="C118" s="76"/>
      <c r="D118" s="76"/>
      <c r="E118" s="76"/>
      <c r="F118" s="80"/>
      <c r="G118" s="77"/>
      <c r="H118" s="77"/>
      <c r="I118" s="106"/>
      <c r="J118" s="938" t="s">
        <v>384</v>
      </c>
      <c r="K118" s="939"/>
      <c r="L118" s="79">
        <f>L110+L117</f>
        <v>7.2496319833333338</v>
      </c>
    </row>
    <row r="119" spans="2:12" x14ac:dyDescent="0.25">
      <c r="B119" s="209"/>
      <c r="C119" s="193"/>
      <c r="D119" s="193"/>
      <c r="E119" s="193"/>
      <c r="F119" s="210"/>
      <c r="G119" s="211"/>
      <c r="H119" s="211"/>
      <c r="I119" s="106"/>
      <c r="J119" s="107" t="s">
        <v>385</v>
      </c>
      <c r="K119" s="108"/>
      <c r="L119" s="79">
        <f>0.15*L118</f>
        <v>1.0874447975000001</v>
      </c>
    </row>
    <row r="120" spans="2:12" x14ac:dyDescent="0.25">
      <c r="B120" s="212"/>
      <c r="C120" s="213"/>
      <c r="D120" s="213"/>
      <c r="E120" s="213"/>
      <c r="F120" s="214"/>
      <c r="G120" s="215"/>
      <c r="H120" s="216"/>
      <c r="I120" s="940" t="s">
        <v>263</v>
      </c>
      <c r="J120" s="899"/>
      <c r="K120" s="933">
        <f>1.25*(L118+L119)</f>
        <v>10.421345976041668</v>
      </c>
      <c r="L120" s="941"/>
    </row>
    <row r="121" spans="2:12" x14ac:dyDescent="0.25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111"/>
    </row>
    <row r="122" spans="2:12" ht="15.75" x14ac:dyDescent="0.25">
      <c r="B122" s="103"/>
      <c r="C122" s="71" t="s">
        <v>233</v>
      </c>
      <c r="D122" s="71" t="s">
        <v>234</v>
      </c>
      <c r="E122" s="71" t="s">
        <v>235</v>
      </c>
      <c r="F122" s="86" t="s">
        <v>264</v>
      </c>
      <c r="G122" s="851" t="s">
        <v>237</v>
      </c>
      <c r="H122" s="851"/>
      <c r="I122" s="73" t="s">
        <v>238</v>
      </c>
      <c r="J122" s="73" t="s">
        <v>239</v>
      </c>
      <c r="K122" s="73" t="s">
        <v>240</v>
      </c>
      <c r="L122" s="74" t="s">
        <v>30</v>
      </c>
    </row>
    <row r="123" spans="2:12" ht="15" customHeight="1" x14ac:dyDescent="0.25">
      <c r="B123" s="162" t="s">
        <v>241</v>
      </c>
      <c r="C123" s="130" t="s">
        <v>205</v>
      </c>
      <c r="D123" s="76" t="s">
        <v>202</v>
      </c>
      <c r="E123" s="76" t="s">
        <v>338</v>
      </c>
      <c r="F123" s="159" t="s">
        <v>199</v>
      </c>
      <c r="G123" s="895" t="s">
        <v>340</v>
      </c>
      <c r="H123" s="895"/>
      <c r="I123" s="77" t="s">
        <v>6</v>
      </c>
      <c r="J123" s="77">
        <v>1</v>
      </c>
      <c r="K123" s="83">
        <f>L123</f>
        <v>2.9616028527000005</v>
      </c>
      <c r="L123" s="79">
        <f>L137+L138</f>
        <v>2.9616028527000005</v>
      </c>
    </row>
    <row r="124" spans="2:12" x14ac:dyDescent="0.25">
      <c r="B124" s="75"/>
      <c r="C124" s="76"/>
      <c r="D124" s="76"/>
      <c r="E124" s="76" t="s">
        <v>386</v>
      </c>
      <c r="F124" s="80"/>
      <c r="G124" s="77"/>
      <c r="H124" s="77"/>
      <c r="I124" s="77"/>
      <c r="J124" s="77"/>
      <c r="K124" s="83"/>
      <c r="L124" s="79">
        <f t="shared" ref="L124:L129" si="9">J124*K124</f>
        <v>0</v>
      </c>
    </row>
    <row r="125" spans="2:12" x14ac:dyDescent="0.25">
      <c r="B125" s="75"/>
      <c r="C125" s="76"/>
      <c r="D125" s="76" t="s">
        <v>360</v>
      </c>
      <c r="E125" s="76" t="s">
        <v>338</v>
      </c>
      <c r="F125" s="112" t="s">
        <v>361</v>
      </c>
      <c r="G125" s="77"/>
      <c r="H125" s="77"/>
      <c r="I125" s="77"/>
      <c r="J125" s="77">
        <v>1</v>
      </c>
      <c r="K125" s="83">
        <f>(0.3*175.35)+(0.5*23.83)</f>
        <v>64.52</v>
      </c>
      <c r="L125" s="79">
        <f t="shared" si="9"/>
        <v>64.52</v>
      </c>
    </row>
    <row r="126" spans="2:12" x14ac:dyDescent="0.25">
      <c r="B126" s="75"/>
      <c r="C126" s="76"/>
      <c r="D126" s="76" t="s">
        <v>387</v>
      </c>
      <c r="E126" s="76" t="s">
        <v>338</v>
      </c>
      <c r="F126" s="80" t="s">
        <v>388</v>
      </c>
      <c r="G126" s="77"/>
      <c r="H126" s="77"/>
      <c r="I126" s="77"/>
      <c r="J126" s="77">
        <v>1</v>
      </c>
      <c r="K126" s="83">
        <f>(0.69*76.6)+(0.31*15.59)</f>
        <v>57.686899999999994</v>
      </c>
      <c r="L126" s="79">
        <f t="shared" si="9"/>
        <v>57.686899999999994</v>
      </c>
    </row>
    <row r="127" spans="2:12" x14ac:dyDescent="0.25">
      <c r="B127" s="75"/>
      <c r="C127" s="76"/>
      <c r="D127" s="76" t="s">
        <v>389</v>
      </c>
      <c r="E127" s="76" t="s">
        <v>338</v>
      </c>
      <c r="F127" s="80" t="s">
        <v>390</v>
      </c>
      <c r="G127" s="77"/>
      <c r="H127" s="77"/>
      <c r="I127" s="77"/>
      <c r="J127" s="77">
        <v>1</v>
      </c>
      <c r="K127" s="83">
        <v>118.9</v>
      </c>
      <c r="L127" s="79">
        <f t="shared" si="9"/>
        <v>118.9</v>
      </c>
    </row>
    <row r="128" spans="2:12" x14ac:dyDescent="0.25">
      <c r="B128" s="75"/>
      <c r="C128" s="76"/>
      <c r="D128" s="76" t="s">
        <v>391</v>
      </c>
      <c r="E128" s="76" t="s">
        <v>338</v>
      </c>
      <c r="F128" s="112" t="s">
        <v>392</v>
      </c>
      <c r="G128" s="77"/>
      <c r="H128" s="77"/>
      <c r="I128" s="77"/>
      <c r="J128" s="77">
        <v>1</v>
      </c>
      <c r="K128" s="83">
        <f>(0.69*3.67)</f>
        <v>2.5322999999999998</v>
      </c>
      <c r="L128" s="79">
        <f t="shared" si="9"/>
        <v>2.5322999999999998</v>
      </c>
    </row>
    <row r="129" spans="2:13" x14ac:dyDescent="0.25">
      <c r="B129" s="75"/>
      <c r="C129" s="76"/>
      <c r="D129" s="76" t="s">
        <v>393</v>
      </c>
      <c r="E129" s="76" t="s">
        <v>338</v>
      </c>
      <c r="F129" s="80" t="s">
        <v>394</v>
      </c>
      <c r="G129" s="77"/>
      <c r="H129" s="77"/>
      <c r="I129" s="77"/>
      <c r="J129" s="77">
        <v>2</v>
      </c>
      <c r="K129" s="83">
        <f>(0.6*159.098)+(0.31*18.714)</f>
        <v>101.26014000000001</v>
      </c>
      <c r="L129" s="79">
        <f t="shared" si="9"/>
        <v>202.52028000000001</v>
      </c>
    </row>
    <row r="130" spans="2:13" x14ac:dyDescent="0.25">
      <c r="B130" s="75"/>
      <c r="C130" s="76"/>
      <c r="D130" s="76"/>
      <c r="E130" s="76"/>
      <c r="F130" s="80"/>
      <c r="G130" s="77"/>
      <c r="H130" s="77"/>
      <c r="I130" s="935" t="s">
        <v>364</v>
      </c>
      <c r="J130" s="936"/>
      <c r="K130" s="937"/>
      <c r="L130" s="79">
        <f>SUM(L125:L129)</f>
        <v>446.15948000000003</v>
      </c>
    </row>
    <row r="131" spans="2:13" x14ac:dyDescent="0.25">
      <c r="B131" s="75"/>
      <c r="C131" s="76"/>
      <c r="D131" s="76"/>
      <c r="E131" s="76" t="s">
        <v>395</v>
      </c>
      <c r="F131" s="80"/>
      <c r="G131" s="77"/>
      <c r="H131" s="77"/>
      <c r="I131" s="77"/>
      <c r="J131" s="77"/>
      <c r="K131" s="83"/>
      <c r="L131" s="79"/>
    </row>
    <row r="132" spans="2:13" x14ac:dyDescent="0.25">
      <c r="B132" s="75"/>
      <c r="C132" s="76"/>
      <c r="D132" s="76" t="s">
        <v>366</v>
      </c>
      <c r="E132" s="76" t="s">
        <v>338</v>
      </c>
      <c r="F132" s="112" t="s">
        <v>367</v>
      </c>
      <c r="G132" s="895"/>
      <c r="H132" s="895"/>
      <c r="I132" s="106" t="s">
        <v>48</v>
      </c>
      <c r="J132" s="107">
        <v>1</v>
      </c>
      <c r="K132" s="77">
        <v>25.47</v>
      </c>
      <c r="L132" s="79">
        <f t="shared" ref="L132:L133" si="10">J132*K132</f>
        <v>25.47</v>
      </c>
    </row>
    <row r="133" spans="2:13" x14ac:dyDescent="0.25">
      <c r="B133" s="75"/>
      <c r="C133" s="76"/>
      <c r="D133" s="76" t="s">
        <v>368</v>
      </c>
      <c r="E133" s="76" t="s">
        <v>338</v>
      </c>
      <c r="F133" s="80" t="s">
        <v>369</v>
      </c>
      <c r="G133" s="895"/>
      <c r="H133" s="895"/>
      <c r="I133" s="106" t="s">
        <v>48</v>
      </c>
      <c r="J133" s="107">
        <v>2</v>
      </c>
      <c r="K133" s="77">
        <v>6.62</v>
      </c>
      <c r="L133" s="79">
        <f t="shared" si="10"/>
        <v>13.24</v>
      </c>
    </row>
    <row r="134" spans="2:13" x14ac:dyDescent="0.25">
      <c r="B134" s="75"/>
      <c r="C134" s="76"/>
      <c r="D134" s="76"/>
      <c r="E134" s="76"/>
      <c r="F134" s="80"/>
      <c r="G134" s="77"/>
      <c r="H134" s="77"/>
      <c r="I134" s="942" t="s">
        <v>370</v>
      </c>
      <c r="J134" s="943"/>
      <c r="K134" s="944"/>
      <c r="L134" s="79">
        <f>SUM(L132:L133)</f>
        <v>38.71</v>
      </c>
    </row>
    <row r="135" spans="2:13" ht="14.25" customHeight="1" x14ac:dyDescent="0.25">
      <c r="B135" s="75"/>
      <c r="C135" s="76"/>
      <c r="D135" s="76"/>
      <c r="E135" s="76"/>
      <c r="F135" s="80"/>
      <c r="G135" s="895"/>
      <c r="H135" s="895"/>
      <c r="I135" s="938" t="s">
        <v>371</v>
      </c>
      <c r="J135" s="939"/>
      <c r="K135" s="108">
        <v>0.15509999999999999</v>
      </c>
      <c r="L135" s="79">
        <f>K135*L134</f>
        <v>6.0039210000000001</v>
      </c>
    </row>
    <row r="136" spans="2:13" x14ac:dyDescent="0.25">
      <c r="B136" s="75"/>
      <c r="C136" s="76"/>
      <c r="D136" s="76"/>
      <c r="E136" s="76"/>
      <c r="F136" s="80"/>
      <c r="G136" s="77"/>
      <c r="H136" s="77"/>
      <c r="I136" s="106"/>
      <c r="J136" s="938" t="s">
        <v>372</v>
      </c>
      <c r="K136" s="939"/>
      <c r="L136" s="79">
        <f>L134+L135+L130</f>
        <v>490.87340100000006</v>
      </c>
    </row>
    <row r="137" spans="2:13" x14ac:dyDescent="0.25">
      <c r="B137" s="75"/>
      <c r="C137" s="76"/>
      <c r="D137" s="76"/>
      <c r="E137" s="76"/>
      <c r="F137" s="80"/>
      <c r="G137" s="77"/>
      <c r="H137" s="77"/>
      <c r="I137" s="106"/>
      <c r="J137" s="938" t="s">
        <v>384</v>
      </c>
      <c r="K137" s="939"/>
      <c r="L137" s="79">
        <f>L136/210</f>
        <v>2.337492385714286</v>
      </c>
    </row>
    <row r="138" spans="2:13" x14ac:dyDescent="0.25">
      <c r="B138" s="209"/>
      <c r="C138" s="193"/>
      <c r="D138" s="193"/>
      <c r="E138" s="193"/>
      <c r="F138" s="210"/>
      <c r="G138" s="211"/>
      <c r="H138" s="211"/>
      <c r="I138" s="106"/>
      <c r="J138" s="107" t="s">
        <v>385</v>
      </c>
      <c r="K138" s="108"/>
      <c r="L138" s="79">
        <f>0.267*L137</f>
        <v>0.62411046698571437</v>
      </c>
    </row>
    <row r="139" spans="2:13" x14ac:dyDescent="0.25">
      <c r="B139" s="212"/>
      <c r="C139" s="213"/>
      <c r="D139" s="213"/>
      <c r="E139" s="213"/>
      <c r="F139" s="214"/>
      <c r="G139" s="215"/>
      <c r="H139" s="216"/>
      <c r="I139" s="940" t="s">
        <v>263</v>
      </c>
      <c r="J139" s="899"/>
      <c r="K139" s="948">
        <f>1.25*(L137+L138)</f>
        <v>3.7020035658750006</v>
      </c>
      <c r="L139" s="949"/>
    </row>
    <row r="140" spans="2:13" x14ac:dyDescent="0.25">
      <c r="B140" s="34"/>
      <c r="C140" s="34"/>
      <c r="D140" s="34"/>
      <c r="E140" s="34"/>
      <c r="F140" s="34"/>
      <c r="G140" s="34"/>
      <c r="H140" s="34"/>
      <c r="I140" s="113"/>
      <c r="J140" s="113"/>
      <c r="K140" s="113"/>
      <c r="L140" s="114"/>
    </row>
    <row r="141" spans="2:13" ht="15.75" x14ac:dyDescent="0.25">
      <c r="B141" s="103"/>
      <c r="C141" s="71" t="s">
        <v>233</v>
      </c>
      <c r="D141" s="71" t="s">
        <v>234</v>
      </c>
      <c r="E141" s="71" t="s">
        <v>235</v>
      </c>
      <c r="F141" s="86" t="s">
        <v>264</v>
      </c>
      <c r="G141" s="851" t="s">
        <v>237</v>
      </c>
      <c r="H141" s="851"/>
      <c r="I141" s="73" t="s">
        <v>238</v>
      </c>
      <c r="J141" s="73" t="s">
        <v>239</v>
      </c>
      <c r="K141" s="73" t="s">
        <v>240</v>
      </c>
      <c r="L141" s="146" t="s">
        <v>30</v>
      </c>
      <c r="M141" s="149"/>
    </row>
    <row r="142" spans="2:13" ht="29.25" customHeight="1" x14ac:dyDescent="0.25">
      <c r="B142" s="130" t="s">
        <v>241</v>
      </c>
      <c r="C142" s="76" t="s">
        <v>206</v>
      </c>
      <c r="D142" s="105" t="s">
        <v>208</v>
      </c>
      <c r="E142" s="76" t="s">
        <v>243</v>
      </c>
      <c r="F142" s="188" t="s">
        <v>396</v>
      </c>
      <c r="G142" s="950"/>
      <c r="H142" s="951"/>
      <c r="I142" s="116"/>
      <c r="J142" s="117">
        <v>1</v>
      </c>
      <c r="K142" s="118">
        <f>L142</f>
        <v>0.18868100000000002</v>
      </c>
      <c r="L142" s="147">
        <f>SUM(L143:L144)</f>
        <v>0.18868100000000002</v>
      </c>
      <c r="M142" s="149"/>
    </row>
    <row r="143" spans="2:13" ht="25.5" x14ac:dyDescent="0.25">
      <c r="B143" s="89"/>
      <c r="C143" s="89"/>
      <c r="D143" s="1" t="s">
        <v>49</v>
      </c>
      <c r="E143" s="76" t="s">
        <v>243</v>
      </c>
      <c r="F143" s="93" t="s">
        <v>50</v>
      </c>
      <c r="G143" s="945" t="s">
        <v>397</v>
      </c>
      <c r="H143" s="945"/>
      <c r="I143" s="1" t="s">
        <v>27</v>
      </c>
      <c r="J143" s="119">
        <v>1.1000000000000001E-3</v>
      </c>
      <c r="K143" s="76">
        <v>147.46</v>
      </c>
      <c r="L143" s="38">
        <f>J143*K143</f>
        <v>0.16220600000000002</v>
      </c>
      <c r="M143" s="149"/>
    </row>
    <row r="144" spans="2:13" x14ac:dyDescent="0.25">
      <c r="B144" s="89"/>
      <c r="C144" s="89"/>
      <c r="D144" s="1" t="s">
        <v>18</v>
      </c>
      <c r="E144" s="76" t="s">
        <v>243</v>
      </c>
      <c r="F144" s="93" t="s">
        <v>17</v>
      </c>
      <c r="G144" s="945" t="s">
        <v>397</v>
      </c>
      <c r="H144" s="945"/>
      <c r="I144" s="1" t="s">
        <v>48</v>
      </c>
      <c r="J144" s="119">
        <v>2.5000000000000001E-3</v>
      </c>
      <c r="K144" s="12">
        <v>10.59</v>
      </c>
      <c r="L144" s="38">
        <f>J144*K144</f>
        <v>2.6474999999999999E-2</v>
      </c>
      <c r="M144" s="149"/>
    </row>
    <row r="145" spans="2:13" x14ac:dyDescent="0.25">
      <c r="B145" s="120"/>
      <c r="C145" s="120"/>
      <c r="D145" s="120"/>
      <c r="E145" s="120"/>
      <c r="F145" s="120"/>
      <c r="G145" s="120"/>
      <c r="H145" s="120"/>
      <c r="I145" s="898" t="s">
        <v>398</v>
      </c>
      <c r="J145" s="898"/>
      <c r="K145" s="946">
        <f>1.25*L142</f>
        <v>0.23585125000000001</v>
      </c>
      <c r="L145" s="947"/>
      <c r="M145" s="149"/>
    </row>
    <row r="146" spans="2:13" x14ac:dyDescent="0.25">
      <c r="B146" s="34"/>
      <c r="C146" s="34"/>
      <c r="D146" s="34"/>
      <c r="E146" s="34"/>
      <c r="F146" s="34"/>
      <c r="G146" s="34"/>
      <c r="H146" s="34"/>
      <c r="I146" s="54"/>
      <c r="J146" s="54"/>
      <c r="K146" s="54"/>
      <c r="L146" s="54"/>
      <c r="M146" s="149"/>
    </row>
    <row r="147" spans="2:13" ht="15.75" x14ac:dyDescent="0.25">
      <c r="B147" s="103"/>
      <c r="C147" s="71" t="s">
        <v>233</v>
      </c>
      <c r="D147" s="71" t="s">
        <v>234</v>
      </c>
      <c r="E147" s="71" t="s">
        <v>235</v>
      </c>
      <c r="F147" s="86" t="s">
        <v>264</v>
      </c>
      <c r="G147" s="851" t="s">
        <v>237</v>
      </c>
      <c r="H147" s="851"/>
      <c r="I147" s="73" t="s">
        <v>238</v>
      </c>
      <c r="J147" s="73" t="s">
        <v>239</v>
      </c>
      <c r="K147" s="73" t="s">
        <v>240</v>
      </c>
      <c r="L147" s="146" t="s">
        <v>30</v>
      </c>
      <c r="M147" s="149"/>
    </row>
    <row r="148" spans="2:13" ht="15.75" x14ac:dyDescent="0.25">
      <c r="B148" s="163" t="s">
        <v>241</v>
      </c>
      <c r="C148" s="4" t="s">
        <v>207</v>
      </c>
      <c r="D148" s="10" t="s">
        <v>203</v>
      </c>
      <c r="E148" s="4" t="s">
        <v>338</v>
      </c>
      <c r="F148" s="122" t="s">
        <v>200</v>
      </c>
      <c r="G148" s="846" t="s">
        <v>340</v>
      </c>
      <c r="H148" s="846"/>
      <c r="I148" s="123" t="s">
        <v>6</v>
      </c>
      <c r="J148" s="123">
        <v>1</v>
      </c>
      <c r="K148" s="124">
        <f>L154</f>
        <v>16.130329199999998</v>
      </c>
      <c r="L148" s="148">
        <f>L154</f>
        <v>16.130329199999998</v>
      </c>
      <c r="M148" s="149"/>
    </row>
    <row r="149" spans="2:13" ht="15.75" x14ac:dyDescent="0.25">
      <c r="B149" s="121"/>
      <c r="C149" s="4"/>
      <c r="D149" s="4"/>
      <c r="E149" s="4"/>
      <c r="F149" s="125" t="s">
        <v>395</v>
      </c>
      <c r="G149" s="123"/>
      <c r="H149" s="123"/>
      <c r="I149" s="123"/>
      <c r="J149" s="123"/>
      <c r="K149" s="124"/>
      <c r="L149" s="148"/>
      <c r="M149" s="149"/>
    </row>
    <row r="150" spans="2:13" ht="15.75" x14ac:dyDescent="0.25">
      <c r="B150" s="121"/>
      <c r="C150" s="4"/>
      <c r="D150" s="4" t="s">
        <v>366</v>
      </c>
      <c r="E150" s="4" t="s">
        <v>338</v>
      </c>
      <c r="F150" s="125" t="s">
        <v>367</v>
      </c>
      <c r="G150" s="846"/>
      <c r="H150" s="846"/>
      <c r="I150" s="126" t="s">
        <v>48</v>
      </c>
      <c r="J150" s="127">
        <v>4.4999999999999998E-2</v>
      </c>
      <c r="K150" s="123">
        <v>25.46</v>
      </c>
      <c r="L150" s="148">
        <f t="shared" ref="L150:L151" si="11">J150*K150</f>
        <v>1.1456999999999999</v>
      </c>
      <c r="M150" s="149"/>
    </row>
    <row r="151" spans="2:13" ht="15.75" x14ac:dyDescent="0.25">
      <c r="B151" s="121"/>
      <c r="C151" s="4"/>
      <c r="D151" s="4" t="s">
        <v>368</v>
      </c>
      <c r="E151" s="4" t="s">
        <v>338</v>
      </c>
      <c r="F151" s="125" t="s">
        <v>369</v>
      </c>
      <c r="G151" s="846"/>
      <c r="H151" s="846"/>
      <c r="I151" s="126" t="s">
        <v>48</v>
      </c>
      <c r="J151" s="127">
        <v>2</v>
      </c>
      <c r="K151" s="123">
        <v>6.6539999999999999</v>
      </c>
      <c r="L151" s="148">
        <f t="shared" si="11"/>
        <v>13.308</v>
      </c>
      <c r="M151" s="149"/>
    </row>
    <row r="152" spans="2:13" ht="15.75" x14ac:dyDescent="0.25">
      <c r="B152" s="121"/>
      <c r="C152" s="4"/>
      <c r="D152" s="4"/>
      <c r="E152" s="4"/>
      <c r="F152" s="125"/>
      <c r="G152" s="123"/>
      <c r="H152" s="123"/>
      <c r="I152" s="957" t="s">
        <v>370</v>
      </c>
      <c r="J152" s="958"/>
      <c r="K152" s="959"/>
      <c r="L152" s="148">
        <f>SUM(L150:L151)</f>
        <v>14.4537</v>
      </c>
      <c r="M152" s="149"/>
    </row>
    <row r="153" spans="2:13" ht="15.75" x14ac:dyDescent="0.25">
      <c r="B153" s="121"/>
      <c r="C153" s="4"/>
      <c r="D153" s="4"/>
      <c r="E153" s="4"/>
      <c r="F153" s="125"/>
      <c r="G153" s="846"/>
      <c r="H153" s="846"/>
      <c r="I153" s="952" t="s">
        <v>371</v>
      </c>
      <c r="J153" s="953"/>
      <c r="K153" s="128">
        <v>0.11600000000000001</v>
      </c>
      <c r="L153" s="148">
        <f>K153*L152</f>
        <v>1.6766292</v>
      </c>
      <c r="M153" s="149"/>
    </row>
    <row r="154" spans="2:13" ht="15.75" x14ac:dyDescent="0.25">
      <c r="B154" s="121"/>
      <c r="C154" s="4"/>
      <c r="D154" s="4"/>
      <c r="E154" s="4"/>
      <c r="F154" s="125"/>
      <c r="G154" s="123"/>
      <c r="H154" s="123"/>
      <c r="I154" s="952" t="s">
        <v>372</v>
      </c>
      <c r="J154" s="960"/>
      <c r="K154" s="953"/>
      <c r="L154" s="148">
        <f>L152+L153</f>
        <v>16.130329199999998</v>
      </c>
      <c r="M154" s="149"/>
    </row>
    <row r="155" spans="2:13" ht="15.75" x14ac:dyDescent="0.25">
      <c r="B155" s="201"/>
      <c r="C155" s="31"/>
      <c r="D155" s="31"/>
      <c r="E155" s="31"/>
      <c r="F155" s="202"/>
      <c r="G155" s="203"/>
      <c r="H155" s="203"/>
      <c r="I155" s="126"/>
      <c r="J155" s="952" t="s">
        <v>384</v>
      </c>
      <c r="K155" s="953"/>
      <c r="L155" s="148">
        <f>L154</f>
        <v>16.130329199999998</v>
      </c>
      <c r="M155" s="149"/>
    </row>
    <row r="156" spans="2:13" ht="15.75" x14ac:dyDescent="0.25">
      <c r="B156" s="204"/>
      <c r="C156" s="205"/>
      <c r="D156" s="205"/>
      <c r="E156" s="205"/>
      <c r="F156" s="206"/>
      <c r="G156" s="207"/>
      <c r="H156" s="208"/>
      <c r="I156" s="954" t="s">
        <v>263</v>
      </c>
      <c r="J156" s="847"/>
      <c r="K156" s="880">
        <f>1.25*L148</f>
        <v>20.1629115</v>
      </c>
      <c r="L156" s="955"/>
      <c r="M156" s="149"/>
    </row>
    <row r="157" spans="2:13" s="34" customFormat="1" ht="15.75" x14ac:dyDescent="0.25">
      <c r="B157" s="164"/>
      <c r="C157" s="165"/>
      <c r="D157" s="165"/>
      <c r="E157" s="165"/>
      <c r="F157" s="166"/>
      <c r="G157" s="167"/>
      <c r="H157" s="167"/>
      <c r="I157" s="168"/>
      <c r="J157" s="168"/>
      <c r="K157" s="169"/>
      <c r="L157" s="169"/>
      <c r="M157" s="149"/>
    </row>
    <row r="158" spans="2:13" s="34" customFormat="1" ht="15.75" x14ac:dyDescent="0.25">
      <c r="B158" s="103"/>
      <c r="C158" s="71" t="s">
        <v>233</v>
      </c>
      <c r="D158" s="71" t="s">
        <v>234</v>
      </c>
      <c r="E158" s="71" t="s">
        <v>235</v>
      </c>
      <c r="F158" s="86" t="s">
        <v>264</v>
      </c>
      <c r="G158" s="851" t="s">
        <v>237</v>
      </c>
      <c r="H158" s="851"/>
      <c r="I158" s="73" t="s">
        <v>238</v>
      </c>
      <c r="J158" s="73" t="s">
        <v>239</v>
      </c>
      <c r="K158" s="73" t="s">
        <v>240</v>
      </c>
      <c r="L158" s="146" t="s">
        <v>30</v>
      </c>
      <c r="M158" s="149"/>
    </row>
    <row r="159" spans="2:13" s="34" customFormat="1" ht="15.75" x14ac:dyDescent="0.25">
      <c r="B159" s="163" t="s">
        <v>241</v>
      </c>
      <c r="C159" s="4" t="s">
        <v>14</v>
      </c>
      <c r="D159" s="4"/>
      <c r="E159" s="177" t="s">
        <v>243</v>
      </c>
      <c r="F159" s="181" t="s">
        <v>21</v>
      </c>
      <c r="G159" s="896"/>
      <c r="H159" s="897"/>
      <c r="I159" s="168"/>
      <c r="J159" s="7"/>
      <c r="K159" s="7"/>
      <c r="L159" s="170">
        <f>SUM(L160:L164)</f>
        <v>32.516709999999996</v>
      </c>
      <c r="M159" s="149"/>
    </row>
    <row r="160" spans="2:13" s="34" customFormat="1" ht="15.75" x14ac:dyDescent="0.25">
      <c r="B160" s="176"/>
      <c r="C160" s="4"/>
      <c r="D160" s="4"/>
      <c r="E160" s="177" t="s">
        <v>243</v>
      </c>
      <c r="F160" s="93" t="s">
        <v>432</v>
      </c>
      <c r="G160" s="896"/>
      <c r="H160" s="897"/>
      <c r="I160" s="175" t="s">
        <v>436</v>
      </c>
      <c r="J160" s="171">
        <v>7.0000000000000001E-3</v>
      </c>
      <c r="K160" s="7">
        <v>25</v>
      </c>
      <c r="L160" s="33">
        <f>J160*K160</f>
        <v>0.17500000000000002</v>
      </c>
      <c r="M160" s="149"/>
    </row>
    <row r="161" spans="2:13" s="34" customFormat="1" ht="15.75" x14ac:dyDescent="0.25">
      <c r="B161" s="176"/>
      <c r="C161" s="4"/>
      <c r="D161" s="4"/>
      <c r="E161" s="177" t="s">
        <v>243</v>
      </c>
      <c r="F161" s="93" t="s">
        <v>433</v>
      </c>
      <c r="G161" s="896"/>
      <c r="H161" s="897"/>
      <c r="I161" s="175" t="s">
        <v>45</v>
      </c>
      <c r="J161" s="171">
        <v>1.0049999999999999</v>
      </c>
      <c r="K161" s="7">
        <v>22.97</v>
      </c>
      <c r="L161" s="33">
        <f t="shared" ref="L161:L164" si="12">J161*K161</f>
        <v>23.084849999999996</v>
      </c>
      <c r="M161" s="149"/>
    </row>
    <row r="162" spans="2:13" s="34" customFormat="1" ht="15.75" x14ac:dyDescent="0.25">
      <c r="B162" s="176"/>
      <c r="C162" s="4"/>
      <c r="D162" s="4"/>
      <c r="E162" s="177" t="s">
        <v>243</v>
      </c>
      <c r="F162" s="93" t="s">
        <v>434</v>
      </c>
      <c r="G162" s="896"/>
      <c r="H162" s="897"/>
      <c r="I162" s="175" t="s">
        <v>48</v>
      </c>
      <c r="J162" s="171">
        <v>0.35899999999999999</v>
      </c>
      <c r="K162" s="7">
        <v>14.25</v>
      </c>
      <c r="L162" s="33">
        <f t="shared" si="12"/>
        <v>5.1157500000000002</v>
      </c>
      <c r="M162" s="149"/>
    </row>
    <row r="163" spans="2:13" s="34" customFormat="1" ht="15.75" x14ac:dyDescent="0.25">
      <c r="B163" s="176"/>
      <c r="C163" s="4"/>
      <c r="D163" s="4"/>
      <c r="E163" s="177" t="s">
        <v>243</v>
      </c>
      <c r="F163" s="93" t="s">
        <v>17</v>
      </c>
      <c r="G163" s="896"/>
      <c r="H163" s="897"/>
      <c r="I163" s="175" t="s">
        <v>48</v>
      </c>
      <c r="J163" s="171">
        <v>0.35899999999999999</v>
      </c>
      <c r="K163" s="7">
        <v>10.59</v>
      </c>
      <c r="L163" s="33">
        <f t="shared" si="12"/>
        <v>3.8018099999999997</v>
      </c>
      <c r="M163" s="149"/>
    </row>
    <row r="164" spans="2:13" s="34" customFormat="1" ht="15.75" x14ac:dyDescent="0.25">
      <c r="B164" s="176"/>
      <c r="C164" s="4"/>
      <c r="D164" s="4"/>
      <c r="E164" s="177" t="s">
        <v>243</v>
      </c>
      <c r="F164" s="93" t="s">
        <v>435</v>
      </c>
      <c r="G164" s="896"/>
      <c r="H164" s="897"/>
      <c r="I164" s="175" t="s">
        <v>436</v>
      </c>
      <c r="J164" s="172">
        <v>1E-3</v>
      </c>
      <c r="K164" s="7">
        <v>339.3</v>
      </c>
      <c r="L164" s="33">
        <f t="shared" si="12"/>
        <v>0.33930000000000005</v>
      </c>
      <c r="M164" s="149"/>
    </row>
    <row r="165" spans="2:13" s="34" customFormat="1" ht="15.75" x14ac:dyDescent="0.25">
      <c r="B165" s="164"/>
      <c r="C165" s="165"/>
      <c r="D165" s="165"/>
      <c r="E165" s="165"/>
      <c r="F165" s="166"/>
      <c r="G165" s="167"/>
      <c r="H165" s="167"/>
      <c r="I165" s="168"/>
      <c r="J165" s="847" t="s">
        <v>263</v>
      </c>
      <c r="K165" s="847"/>
      <c r="L165" s="180">
        <f>1.25*L159</f>
        <v>40.645887499999994</v>
      </c>
      <c r="M165" s="179"/>
    </row>
    <row r="166" spans="2:13" s="34" customFormat="1" ht="15.75" x14ac:dyDescent="0.25">
      <c r="B166" s="164"/>
      <c r="C166" s="165"/>
      <c r="D166" s="165"/>
      <c r="E166" s="165"/>
      <c r="F166" s="166"/>
      <c r="G166" s="167"/>
      <c r="H166" s="167"/>
      <c r="I166" s="168"/>
      <c r="J166" s="168"/>
      <c r="K166" s="169"/>
      <c r="L166" s="169"/>
      <c r="M166" s="149"/>
    </row>
    <row r="167" spans="2:13" s="34" customFormat="1" ht="15.75" x14ac:dyDescent="0.25">
      <c r="B167" s="103"/>
      <c r="C167" s="71" t="s">
        <v>233</v>
      </c>
      <c r="D167" s="71" t="s">
        <v>234</v>
      </c>
      <c r="E167" s="71" t="s">
        <v>235</v>
      </c>
      <c r="F167" s="86" t="s">
        <v>264</v>
      </c>
      <c r="G167" s="851" t="s">
        <v>237</v>
      </c>
      <c r="H167" s="851"/>
      <c r="I167" s="73" t="s">
        <v>238</v>
      </c>
      <c r="J167" s="73" t="s">
        <v>239</v>
      </c>
      <c r="K167" s="73" t="s">
        <v>240</v>
      </c>
      <c r="L167" s="146" t="s">
        <v>30</v>
      </c>
      <c r="M167" s="149"/>
    </row>
    <row r="168" spans="2:13" s="34" customFormat="1" ht="15.75" x14ac:dyDescent="0.25">
      <c r="B168" s="186" t="s">
        <v>241</v>
      </c>
      <c r="C168" s="4" t="s">
        <v>15</v>
      </c>
      <c r="D168" s="4"/>
      <c r="E168" s="177" t="s">
        <v>243</v>
      </c>
      <c r="F168" s="183" t="s">
        <v>40</v>
      </c>
      <c r="G168" s="123"/>
      <c r="H168" s="123"/>
      <c r="I168" s="129"/>
      <c r="J168" s="11"/>
      <c r="K168" s="11"/>
      <c r="L168" s="187">
        <f>SUM(L169:L174)</f>
        <v>33.478237399999998</v>
      </c>
      <c r="M168" s="179"/>
    </row>
    <row r="169" spans="2:13" s="34" customFormat="1" ht="15.75" x14ac:dyDescent="0.25">
      <c r="B169" s="176"/>
      <c r="C169" s="4"/>
      <c r="D169" s="4"/>
      <c r="E169" s="177" t="s">
        <v>243</v>
      </c>
      <c r="F169" s="93" t="s">
        <v>432</v>
      </c>
      <c r="G169" s="961"/>
      <c r="H169" s="961"/>
      <c r="I169" s="174" t="s">
        <v>436</v>
      </c>
      <c r="J169" s="171">
        <v>0.01</v>
      </c>
      <c r="K169" s="7">
        <v>25</v>
      </c>
      <c r="L169" s="92">
        <f>J169*K169</f>
        <v>0.25</v>
      </c>
      <c r="M169" s="179"/>
    </row>
    <row r="170" spans="2:13" s="34" customFormat="1" ht="15.75" x14ac:dyDescent="0.25">
      <c r="B170" s="176"/>
      <c r="C170" s="4"/>
      <c r="D170" s="4"/>
      <c r="E170" s="177" t="s">
        <v>243</v>
      </c>
      <c r="F170" s="93" t="s">
        <v>437</v>
      </c>
      <c r="G170" s="961"/>
      <c r="H170" s="961"/>
      <c r="I170" s="174" t="s">
        <v>45</v>
      </c>
      <c r="J170" s="171">
        <v>0.2</v>
      </c>
      <c r="K170" s="184">
        <v>1.1299999999999999</v>
      </c>
      <c r="L170" s="92">
        <f t="shared" ref="L170:L174" si="13">J170*K170</f>
        <v>0.22599999999999998</v>
      </c>
      <c r="M170" s="179"/>
    </row>
    <row r="171" spans="2:13" s="34" customFormat="1" ht="15.75" x14ac:dyDescent="0.25">
      <c r="B171" s="176"/>
      <c r="C171" s="4"/>
      <c r="D171" s="4"/>
      <c r="E171" s="177" t="s">
        <v>243</v>
      </c>
      <c r="F171" s="93" t="s">
        <v>438</v>
      </c>
      <c r="G171" s="961"/>
      <c r="H171" s="961"/>
      <c r="I171" s="174" t="s">
        <v>45</v>
      </c>
      <c r="J171" s="171">
        <v>8.3000000000000004E-2</v>
      </c>
      <c r="K171" s="184">
        <v>8.07</v>
      </c>
      <c r="L171" s="92">
        <f t="shared" si="13"/>
        <v>0.66981000000000002</v>
      </c>
      <c r="M171" s="179"/>
    </row>
    <row r="172" spans="2:13" s="34" customFormat="1" ht="25.5" x14ac:dyDescent="0.25">
      <c r="B172" s="176"/>
      <c r="C172" s="4"/>
      <c r="D172" s="4"/>
      <c r="E172" s="177" t="s">
        <v>243</v>
      </c>
      <c r="F172" s="93" t="s">
        <v>439</v>
      </c>
      <c r="G172" s="961"/>
      <c r="H172" s="961"/>
      <c r="I172" s="174" t="s">
        <v>436</v>
      </c>
      <c r="J172" s="171">
        <v>5.0520000000000002E-2</v>
      </c>
      <c r="K172" s="184">
        <v>300.87</v>
      </c>
      <c r="L172" s="92">
        <f t="shared" si="13"/>
        <v>15.199952400000001</v>
      </c>
      <c r="M172" s="179"/>
    </row>
    <row r="173" spans="2:13" s="34" customFormat="1" ht="15.75" x14ac:dyDescent="0.25">
      <c r="B173" s="176"/>
      <c r="C173" s="4"/>
      <c r="D173" s="4"/>
      <c r="E173" s="177" t="s">
        <v>243</v>
      </c>
      <c r="F173" s="93" t="s">
        <v>434</v>
      </c>
      <c r="G173" s="961"/>
      <c r="H173" s="961"/>
      <c r="I173" s="174" t="s">
        <v>48</v>
      </c>
      <c r="J173" s="171">
        <v>0.6895</v>
      </c>
      <c r="K173" s="7">
        <v>14.25</v>
      </c>
      <c r="L173" s="92">
        <f t="shared" si="13"/>
        <v>9.8253749999999993</v>
      </c>
      <c r="M173" s="179"/>
    </row>
    <row r="174" spans="2:13" s="34" customFormat="1" ht="15.75" x14ac:dyDescent="0.25">
      <c r="B174" s="176"/>
      <c r="C174" s="4"/>
      <c r="D174" s="4"/>
      <c r="E174" s="177" t="s">
        <v>243</v>
      </c>
      <c r="F174" s="93" t="s">
        <v>17</v>
      </c>
      <c r="G174" s="961"/>
      <c r="H174" s="961"/>
      <c r="I174" s="174" t="s">
        <v>48</v>
      </c>
      <c r="J174" s="171">
        <v>0.69</v>
      </c>
      <c r="K174" s="7">
        <v>10.59</v>
      </c>
      <c r="L174" s="92">
        <f t="shared" si="13"/>
        <v>7.3070999999999993</v>
      </c>
      <c r="M174" s="179"/>
    </row>
    <row r="175" spans="2:13" s="34" customFormat="1" ht="15.75" x14ac:dyDescent="0.25">
      <c r="B175" s="164"/>
      <c r="C175" s="165"/>
      <c r="D175" s="165"/>
      <c r="E175" s="165"/>
      <c r="F175" s="166"/>
      <c r="G175" s="167"/>
      <c r="H175" s="167"/>
      <c r="I175" s="168"/>
      <c r="J175" s="962" t="s">
        <v>263</v>
      </c>
      <c r="K175" s="962"/>
      <c r="L175" s="185">
        <f>1.25*L168</f>
        <v>41.847796750000001</v>
      </c>
      <c r="M175" s="149"/>
    </row>
    <row r="176" spans="2:13" s="34" customFormat="1" ht="15.75" x14ac:dyDescent="0.25">
      <c r="B176" s="164"/>
      <c r="C176" s="165"/>
      <c r="D176" s="165"/>
      <c r="E176" s="165"/>
      <c r="F176" s="166"/>
      <c r="G176" s="167"/>
      <c r="H176" s="167"/>
      <c r="I176" s="168"/>
      <c r="J176" s="168"/>
      <c r="K176" s="169"/>
      <c r="L176" s="169"/>
      <c r="M176" s="149"/>
    </row>
    <row r="177" spans="2:13" ht="15.75" x14ac:dyDescent="0.25">
      <c r="B177" s="71"/>
      <c r="C177" s="71" t="s">
        <v>233</v>
      </c>
      <c r="D177" s="71" t="s">
        <v>234</v>
      </c>
      <c r="E177" s="71" t="s">
        <v>235</v>
      </c>
      <c r="F177" s="86" t="s">
        <v>264</v>
      </c>
      <c r="G177" s="851" t="s">
        <v>237</v>
      </c>
      <c r="H177" s="851"/>
      <c r="I177" s="73" t="s">
        <v>238</v>
      </c>
      <c r="J177" s="73" t="s">
        <v>239</v>
      </c>
      <c r="K177" s="73" t="s">
        <v>240</v>
      </c>
      <c r="L177" s="146" t="s">
        <v>30</v>
      </c>
      <c r="M177" s="151"/>
    </row>
    <row r="178" spans="2:13" ht="15.75" x14ac:dyDescent="0.25">
      <c r="B178" s="163" t="s">
        <v>241</v>
      </c>
      <c r="C178" s="131" t="s">
        <v>34</v>
      </c>
      <c r="D178" s="178" t="s">
        <v>212</v>
      </c>
      <c r="E178" s="130" t="s">
        <v>399</v>
      </c>
      <c r="F178" s="181" t="s">
        <v>211</v>
      </c>
      <c r="G178" s="956"/>
      <c r="H178" s="956"/>
      <c r="I178" s="76" t="s">
        <v>12</v>
      </c>
      <c r="J178" s="132">
        <v>1</v>
      </c>
      <c r="K178" s="133">
        <f>L178</f>
        <v>346.36527599999999</v>
      </c>
      <c r="L178" s="150">
        <f>SUM(L179:L183)</f>
        <v>346.36527599999999</v>
      </c>
      <c r="M178" s="151"/>
    </row>
    <row r="179" spans="2:13" ht="26.25" x14ac:dyDescent="0.25">
      <c r="B179" s="89"/>
      <c r="C179" s="89"/>
      <c r="D179" s="178" t="s">
        <v>225</v>
      </c>
      <c r="E179" s="76" t="s">
        <v>399</v>
      </c>
      <c r="F179" s="134" t="s">
        <v>213</v>
      </c>
      <c r="G179" s="956"/>
      <c r="H179" s="956"/>
      <c r="I179" s="76" t="s">
        <v>6</v>
      </c>
      <c r="J179" s="33">
        <v>1.6827000000000001</v>
      </c>
      <c r="K179" s="133">
        <v>91.88</v>
      </c>
      <c r="L179" s="150">
        <f>J179*K179</f>
        <v>154.60647599999999</v>
      </c>
      <c r="M179" s="151"/>
    </row>
    <row r="180" spans="2:13" ht="26.25" x14ac:dyDescent="0.25">
      <c r="B180" s="89"/>
      <c r="C180" s="89"/>
      <c r="D180" s="178" t="s">
        <v>215</v>
      </c>
      <c r="E180" s="76" t="s">
        <v>399</v>
      </c>
      <c r="F180" s="134" t="s">
        <v>216</v>
      </c>
      <c r="G180" s="956"/>
      <c r="H180" s="956"/>
      <c r="I180" s="135" t="s">
        <v>217</v>
      </c>
      <c r="J180" s="33">
        <v>13</v>
      </c>
      <c r="K180" s="133">
        <v>8</v>
      </c>
      <c r="L180" s="150">
        <f t="shared" ref="L180:L183" si="14">J180*K180</f>
        <v>104</v>
      </c>
      <c r="M180" s="151"/>
    </row>
    <row r="181" spans="2:13" x14ac:dyDescent="0.25">
      <c r="B181" s="89"/>
      <c r="C181" s="89"/>
      <c r="D181" s="178" t="s">
        <v>218</v>
      </c>
      <c r="E181" s="76" t="s">
        <v>399</v>
      </c>
      <c r="F181" s="136" t="s">
        <v>219</v>
      </c>
      <c r="G181" s="956"/>
      <c r="H181" s="956"/>
      <c r="I181" s="135" t="s">
        <v>11</v>
      </c>
      <c r="J181" s="33">
        <v>0.45</v>
      </c>
      <c r="K181" s="133">
        <v>38.119999999999997</v>
      </c>
      <c r="L181" s="150">
        <f t="shared" si="14"/>
        <v>17.154</v>
      </c>
      <c r="M181" s="151"/>
    </row>
    <row r="182" spans="2:13" ht="25.5" x14ac:dyDescent="0.25">
      <c r="B182" s="89"/>
      <c r="C182" s="89"/>
      <c r="D182" s="178" t="s">
        <v>221</v>
      </c>
      <c r="E182" s="76" t="s">
        <v>399</v>
      </c>
      <c r="F182" s="137" t="s">
        <v>222</v>
      </c>
      <c r="G182" s="956"/>
      <c r="H182" s="956"/>
      <c r="I182" s="135" t="s">
        <v>11</v>
      </c>
      <c r="J182" s="33">
        <v>0.2</v>
      </c>
      <c r="K182" s="133">
        <v>11.9</v>
      </c>
      <c r="L182" s="150">
        <f t="shared" si="14"/>
        <v>2.3800000000000003</v>
      </c>
      <c r="M182" s="151"/>
    </row>
    <row r="183" spans="2:13" x14ac:dyDescent="0.25">
      <c r="B183" s="191"/>
      <c r="C183" s="191"/>
      <c r="D183" s="192" t="s">
        <v>223</v>
      </c>
      <c r="E183" s="193" t="s">
        <v>399</v>
      </c>
      <c r="F183" s="194" t="s">
        <v>400</v>
      </c>
      <c r="G183" s="969"/>
      <c r="H183" s="969"/>
      <c r="I183" s="135" t="s">
        <v>11</v>
      </c>
      <c r="J183" s="33">
        <v>0.16800000000000001</v>
      </c>
      <c r="K183" s="133">
        <v>406.1</v>
      </c>
      <c r="L183" s="150">
        <f t="shared" si="14"/>
        <v>68.224800000000002</v>
      </c>
      <c r="M183" s="151"/>
    </row>
    <row r="184" spans="2:13" x14ac:dyDescent="0.25">
      <c r="B184" s="196"/>
      <c r="C184" s="196"/>
      <c r="D184" s="196"/>
      <c r="E184" s="196"/>
      <c r="F184" s="196"/>
      <c r="G184" s="964"/>
      <c r="H184" s="965"/>
      <c r="I184" s="966" t="s">
        <v>401</v>
      </c>
      <c r="J184" s="963"/>
      <c r="K184" s="89"/>
      <c r="L184" s="150">
        <f>0.25*L178</f>
        <v>86.591318999999999</v>
      </c>
      <c r="M184" s="151"/>
    </row>
    <row r="185" spans="2:13" x14ac:dyDescent="0.25">
      <c r="B185" s="195"/>
      <c r="C185" s="195"/>
      <c r="D185" s="195"/>
      <c r="E185" s="195"/>
      <c r="F185" s="195"/>
      <c r="G185" s="967"/>
      <c r="H185" s="968"/>
      <c r="I185" s="966" t="s">
        <v>402</v>
      </c>
      <c r="J185" s="963"/>
      <c r="K185" s="963"/>
      <c r="L185" s="150">
        <f>L178+L184</f>
        <v>432.95659499999999</v>
      </c>
      <c r="M185" s="151"/>
    </row>
    <row r="186" spans="2:13" x14ac:dyDescent="0.25">
      <c r="L186" s="114"/>
    </row>
    <row r="187" spans="2:13" ht="15.75" x14ac:dyDescent="0.25">
      <c r="B187" s="71"/>
      <c r="C187" s="71" t="s">
        <v>233</v>
      </c>
      <c r="D187" s="71" t="s">
        <v>234</v>
      </c>
      <c r="E187" s="71" t="s">
        <v>235</v>
      </c>
      <c r="F187" s="86" t="s">
        <v>264</v>
      </c>
      <c r="G187" s="851" t="s">
        <v>237</v>
      </c>
      <c r="H187" s="851"/>
      <c r="I187" s="73" t="s">
        <v>238</v>
      </c>
      <c r="J187" s="73" t="s">
        <v>239</v>
      </c>
      <c r="K187" s="73" t="s">
        <v>240</v>
      </c>
      <c r="L187" s="74" t="s">
        <v>30</v>
      </c>
    </row>
    <row r="188" spans="2:13" ht="15.75" x14ac:dyDescent="0.25">
      <c r="B188" s="11"/>
      <c r="C188" s="11"/>
      <c r="D188" s="11"/>
      <c r="E188" s="177" t="s">
        <v>243</v>
      </c>
      <c r="F188" s="189" t="s">
        <v>209</v>
      </c>
      <c r="G188" s="11"/>
      <c r="H188" s="11"/>
      <c r="I188" s="11"/>
      <c r="J188" s="11"/>
      <c r="K188" s="11"/>
      <c r="L188" s="197">
        <f>SUM(L189:L191)</f>
        <v>2.8894815000000005</v>
      </c>
    </row>
    <row r="189" spans="2:13" x14ac:dyDescent="0.25">
      <c r="B189" s="11"/>
      <c r="C189" s="11"/>
      <c r="D189" s="174" t="s">
        <v>442</v>
      </c>
      <c r="E189" s="177" t="s">
        <v>243</v>
      </c>
      <c r="F189" s="173" t="s">
        <v>440</v>
      </c>
      <c r="G189" s="11"/>
      <c r="H189" s="11"/>
      <c r="I189" s="174" t="s">
        <v>47</v>
      </c>
      <c r="J189" s="171">
        <v>0.3</v>
      </c>
      <c r="K189" s="184">
        <v>1.145</v>
      </c>
      <c r="L189" s="198">
        <f t="shared" ref="L189:L191" si="15">J189*K189</f>
        <v>0.34349999999999997</v>
      </c>
    </row>
    <row r="190" spans="2:13" x14ac:dyDescent="0.25">
      <c r="B190" s="11"/>
      <c r="C190" s="11"/>
      <c r="D190" s="174" t="s">
        <v>443</v>
      </c>
      <c r="E190" s="177" t="s">
        <v>243</v>
      </c>
      <c r="F190" s="173" t="s">
        <v>441</v>
      </c>
      <c r="G190" s="11"/>
      <c r="H190" s="11"/>
      <c r="I190" s="174" t="s">
        <v>48</v>
      </c>
      <c r="J190" s="171">
        <v>0.14940000000000001</v>
      </c>
      <c r="K190" s="49">
        <v>16.510000000000002</v>
      </c>
      <c r="L190" s="198">
        <f t="shared" si="15"/>
        <v>2.4665940000000002</v>
      </c>
    </row>
    <row r="191" spans="2:13" x14ac:dyDescent="0.25">
      <c r="B191" s="11"/>
      <c r="C191" s="11"/>
      <c r="D191" s="174" t="s">
        <v>18</v>
      </c>
      <c r="E191" s="177" t="s">
        <v>243</v>
      </c>
      <c r="F191" s="173" t="s">
        <v>17</v>
      </c>
      <c r="G191" s="11"/>
      <c r="H191" s="11"/>
      <c r="I191" s="174" t="s">
        <v>48</v>
      </c>
      <c r="J191" s="171">
        <v>7.4999999999999997E-3</v>
      </c>
      <c r="K191" s="7">
        <v>10.585000000000001</v>
      </c>
      <c r="L191" s="198">
        <f t="shared" si="15"/>
        <v>7.93875E-2</v>
      </c>
    </row>
    <row r="192" spans="2:13" x14ac:dyDescent="0.25">
      <c r="I192" s="963" t="s">
        <v>401</v>
      </c>
      <c r="J192" s="963"/>
      <c r="K192" s="91"/>
      <c r="L192" s="198">
        <f>0.25*L188</f>
        <v>0.72237037500000012</v>
      </c>
    </row>
    <row r="193" spans="2:12" x14ac:dyDescent="0.25">
      <c r="I193" s="963" t="s">
        <v>402</v>
      </c>
      <c r="J193" s="963"/>
      <c r="K193" s="963"/>
      <c r="L193" s="198">
        <f>L188+L192</f>
        <v>3.6118518750000006</v>
      </c>
    </row>
    <row r="194" spans="2:12" x14ac:dyDescent="0.25">
      <c r="L194" s="199"/>
    </row>
    <row r="195" spans="2:12" ht="15.75" x14ac:dyDescent="0.25">
      <c r="B195" s="71"/>
      <c r="C195" s="71" t="s">
        <v>233</v>
      </c>
      <c r="D195" s="71" t="s">
        <v>234</v>
      </c>
      <c r="E195" s="71" t="s">
        <v>235</v>
      </c>
      <c r="F195" s="86" t="s">
        <v>264</v>
      </c>
      <c r="G195" s="851" t="s">
        <v>237</v>
      </c>
      <c r="H195" s="851"/>
      <c r="I195" s="73" t="s">
        <v>238</v>
      </c>
      <c r="J195" s="73" t="s">
        <v>239</v>
      </c>
      <c r="K195" s="73" t="s">
        <v>240</v>
      </c>
      <c r="L195" s="74" t="s">
        <v>30</v>
      </c>
    </row>
    <row r="196" spans="2:12" ht="15.75" x14ac:dyDescent="0.25">
      <c r="B196" s="11"/>
      <c r="C196" s="11"/>
      <c r="D196" s="11"/>
      <c r="E196" s="177" t="s">
        <v>243</v>
      </c>
      <c r="F196" s="189" t="s">
        <v>210</v>
      </c>
      <c r="G196" s="11"/>
      <c r="H196" s="11"/>
      <c r="I196" s="11"/>
      <c r="J196" s="11"/>
      <c r="K196" s="11"/>
      <c r="L196" s="200">
        <f>SUM(L197:L209)</f>
        <v>787.18964931999994</v>
      </c>
    </row>
    <row r="197" spans="2:12" ht="24" x14ac:dyDescent="0.25">
      <c r="B197" s="11"/>
      <c r="C197" s="11"/>
      <c r="D197" s="174" t="s">
        <v>457</v>
      </c>
      <c r="E197" s="177" t="s">
        <v>243</v>
      </c>
      <c r="F197" s="173" t="s">
        <v>444</v>
      </c>
      <c r="G197" s="11"/>
      <c r="H197" s="11"/>
      <c r="I197" s="174" t="s">
        <v>436</v>
      </c>
      <c r="J197" s="171">
        <v>1.548</v>
      </c>
      <c r="K197" s="190">
        <v>52.5</v>
      </c>
      <c r="L197" s="200">
        <f>J197*K197</f>
        <v>81.27</v>
      </c>
    </row>
    <row r="198" spans="2:12" x14ac:dyDescent="0.25">
      <c r="B198" s="11"/>
      <c r="C198" s="11"/>
      <c r="D198" s="174" t="s">
        <v>458</v>
      </c>
      <c r="E198" s="177" t="s">
        <v>243</v>
      </c>
      <c r="F198" s="173" t="s">
        <v>445</v>
      </c>
      <c r="G198" s="11"/>
      <c r="H198" s="11"/>
      <c r="I198" s="174" t="s">
        <v>47</v>
      </c>
      <c r="J198" s="171">
        <v>11.2387</v>
      </c>
      <c r="K198" s="190">
        <v>0.53</v>
      </c>
      <c r="L198" s="200">
        <f t="shared" ref="L198:L209" si="16">J198*K198</f>
        <v>5.9565109999999999</v>
      </c>
    </row>
    <row r="199" spans="2:12" ht="36" x14ac:dyDescent="0.25">
      <c r="B199" s="11"/>
      <c r="C199" s="11"/>
      <c r="D199" s="174" t="s">
        <v>459</v>
      </c>
      <c r="E199" s="177" t="s">
        <v>243</v>
      </c>
      <c r="F199" s="173" t="s">
        <v>446</v>
      </c>
      <c r="G199" s="11"/>
      <c r="H199" s="11"/>
      <c r="I199" s="174" t="s">
        <v>27</v>
      </c>
      <c r="J199" s="171">
        <v>2.5899999999999999E-2</v>
      </c>
      <c r="K199" s="190">
        <v>254.03</v>
      </c>
      <c r="L199" s="200">
        <f t="shared" si="16"/>
        <v>6.579377</v>
      </c>
    </row>
    <row r="200" spans="2:12" ht="30" customHeight="1" x14ac:dyDescent="0.25">
      <c r="B200" s="11"/>
      <c r="C200" s="11"/>
      <c r="D200" s="174" t="s">
        <v>460</v>
      </c>
      <c r="E200" s="177" t="s">
        <v>243</v>
      </c>
      <c r="F200" s="173" t="s">
        <v>447</v>
      </c>
      <c r="G200" s="11"/>
      <c r="H200" s="11"/>
      <c r="I200" s="174" t="s">
        <v>28</v>
      </c>
      <c r="J200" s="171">
        <v>4.8099999999999997E-2</v>
      </c>
      <c r="K200" s="190">
        <v>103.23</v>
      </c>
      <c r="L200" s="200">
        <f t="shared" si="16"/>
        <v>4.965363</v>
      </c>
    </row>
    <row r="201" spans="2:12" ht="29.25" customHeight="1" x14ac:dyDescent="0.25">
      <c r="B201" s="11"/>
      <c r="C201" s="11"/>
      <c r="D201" s="174" t="s">
        <v>461</v>
      </c>
      <c r="E201" s="177" t="s">
        <v>243</v>
      </c>
      <c r="F201" s="173" t="s">
        <v>448</v>
      </c>
      <c r="G201" s="11"/>
      <c r="H201" s="11"/>
      <c r="I201" s="174" t="s">
        <v>27</v>
      </c>
      <c r="J201" s="171">
        <v>4.07E-2</v>
      </c>
      <c r="K201" s="190">
        <v>87.55</v>
      </c>
      <c r="L201" s="200">
        <f t="shared" si="16"/>
        <v>3.563285</v>
      </c>
    </row>
    <row r="202" spans="2:12" ht="26.25" customHeight="1" x14ac:dyDescent="0.25">
      <c r="B202" s="11"/>
      <c r="C202" s="11"/>
      <c r="D202" s="174" t="s">
        <v>462</v>
      </c>
      <c r="E202" s="177" t="s">
        <v>243</v>
      </c>
      <c r="F202" s="173" t="s">
        <v>449</v>
      </c>
      <c r="G202" s="11"/>
      <c r="H202" s="11"/>
      <c r="I202" s="174" t="s">
        <v>28</v>
      </c>
      <c r="J202" s="171">
        <v>3.3300000000000003E-2</v>
      </c>
      <c r="K202" s="190">
        <v>36.770000000000003</v>
      </c>
      <c r="L202" s="200">
        <f t="shared" si="16"/>
        <v>1.2244410000000001</v>
      </c>
    </row>
    <row r="203" spans="2:12" ht="30" customHeight="1" x14ac:dyDescent="0.25">
      <c r="B203" s="11"/>
      <c r="C203" s="11"/>
      <c r="D203" s="174" t="s">
        <v>463</v>
      </c>
      <c r="E203" s="177" t="s">
        <v>243</v>
      </c>
      <c r="F203" s="173" t="s">
        <v>450</v>
      </c>
      <c r="G203" s="11"/>
      <c r="H203" s="11"/>
      <c r="I203" s="174" t="s">
        <v>27</v>
      </c>
      <c r="J203" s="171">
        <v>3.3300000000000003E-2</v>
      </c>
      <c r="K203" s="190">
        <v>125.71</v>
      </c>
      <c r="L203" s="200">
        <f t="shared" si="16"/>
        <v>4.1861430000000004</v>
      </c>
    </row>
    <row r="204" spans="2:12" ht="27.75" customHeight="1" x14ac:dyDescent="0.25">
      <c r="B204" s="11"/>
      <c r="C204" s="11"/>
      <c r="D204" s="174" t="s">
        <v>464</v>
      </c>
      <c r="E204" s="177" t="s">
        <v>243</v>
      </c>
      <c r="F204" s="173" t="s">
        <v>451</v>
      </c>
      <c r="G204" s="11"/>
      <c r="H204" s="11"/>
      <c r="I204" s="174" t="s">
        <v>28</v>
      </c>
      <c r="J204" s="171">
        <v>4.07E-2</v>
      </c>
      <c r="K204" s="190">
        <v>97.16</v>
      </c>
      <c r="L204" s="200">
        <f t="shared" si="16"/>
        <v>3.954412</v>
      </c>
    </row>
    <row r="205" spans="2:12" ht="24" x14ac:dyDescent="0.25">
      <c r="B205" s="11"/>
      <c r="C205" s="11"/>
      <c r="D205" s="174" t="s">
        <v>465</v>
      </c>
      <c r="E205" s="177" t="s">
        <v>243</v>
      </c>
      <c r="F205" s="173" t="s">
        <v>452</v>
      </c>
      <c r="G205" s="11"/>
      <c r="H205" s="11"/>
      <c r="I205" s="174" t="s">
        <v>456</v>
      </c>
      <c r="J205" s="171">
        <v>0.13850000000000001</v>
      </c>
      <c r="K205" s="190">
        <v>3159.43</v>
      </c>
      <c r="L205" s="200">
        <f t="shared" si="16"/>
        <v>437.58105499999999</v>
      </c>
    </row>
    <row r="206" spans="2:12" ht="36" x14ac:dyDescent="0.25">
      <c r="B206" s="11"/>
      <c r="C206" s="11"/>
      <c r="D206" s="174" t="s">
        <v>466</v>
      </c>
      <c r="E206" s="177" t="s">
        <v>243</v>
      </c>
      <c r="F206" s="173" t="s">
        <v>453</v>
      </c>
      <c r="G206" s="11"/>
      <c r="H206" s="11"/>
      <c r="I206" s="174" t="s">
        <v>27</v>
      </c>
      <c r="J206" s="171">
        <v>0.49259999999999998</v>
      </c>
      <c r="K206" s="190">
        <v>140.75</v>
      </c>
      <c r="L206" s="200">
        <f t="shared" si="16"/>
        <v>69.333449999999999</v>
      </c>
    </row>
    <row r="207" spans="2:12" ht="36" x14ac:dyDescent="0.25">
      <c r="B207" s="11"/>
      <c r="C207" s="11"/>
      <c r="D207" s="174" t="s">
        <v>467</v>
      </c>
      <c r="E207" s="177" t="s">
        <v>243</v>
      </c>
      <c r="F207" s="173" t="s">
        <v>454</v>
      </c>
      <c r="G207" s="11"/>
      <c r="H207" s="11"/>
      <c r="I207" s="174" t="s">
        <v>28</v>
      </c>
      <c r="J207" s="171">
        <v>2.5899999999999999E-2</v>
      </c>
      <c r="K207" s="190">
        <v>31.84</v>
      </c>
      <c r="L207" s="200">
        <f t="shared" si="16"/>
        <v>0.82465599999999994</v>
      </c>
    </row>
    <row r="208" spans="2:12" x14ac:dyDescent="0.25">
      <c r="B208" s="11"/>
      <c r="C208" s="11"/>
      <c r="D208" s="174" t="s">
        <v>18</v>
      </c>
      <c r="E208" s="177" t="s">
        <v>243</v>
      </c>
      <c r="F208" s="173" t="s">
        <v>17</v>
      </c>
      <c r="G208" s="11"/>
      <c r="H208" s="11"/>
      <c r="I208" s="174" t="s">
        <v>48</v>
      </c>
      <c r="J208" s="171">
        <v>0.74</v>
      </c>
      <c r="K208" s="190">
        <v>12.83</v>
      </c>
      <c r="L208" s="200">
        <f t="shared" si="16"/>
        <v>9.4941999999999993</v>
      </c>
    </row>
    <row r="209" spans="2:12" ht="24" x14ac:dyDescent="0.25">
      <c r="B209" s="11"/>
      <c r="C209" s="11"/>
      <c r="D209" s="174" t="s">
        <v>468</v>
      </c>
      <c r="E209" s="177" t="s">
        <v>243</v>
      </c>
      <c r="F209" s="173" t="s">
        <v>455</v>
      </c>
      <c r="G209" s="11"/>
      <c r="H209" s="11"/>
      <c r="I209" s="174" t="s">
        <v>27</v>
      </c>
      <c r="J209" s="171">
        <v>8.0002000000000004E-2</v>
      </c>
      <c r="K209" s="190">
        <v>1978.16</v>
      </c>
      <c r="L209" s="200">
        <f t="shared" si="16"/>
        <v>158.25675632000002</v>
      </c>
    </row>
    <row r="210" spans="2:12" x14ac:dyDescent="0.25">
      <c r="I210" s="963" t="s">
        <v>401</v>
      </c>
      <c r="J210" s="963"/>
      <c r="K210" s="160"/>
      <c r="L210" s="198">
        <f>0.25*L196</f>
        <v>196.79741232999999</v>
      </c>
    </row>
    <row r="211" spans="2:12" x14ac:dyDescent="0.25">
      <c r="I211" s="963" t="s">
        <v>402</v>
      </c>
      <c r="J211" s="963"/>
      <c r="K211" s="963"/>
      <c r="L211" s="198">
        <f>L196+L210</f>
        <v>983.98706164999999</v>
      </c>
    </row>
  </sheetData>
  <mergeCells count="177">
    <mergeCell ref="I210:J210"/>
    <mergeCell ref="I211:K211"/>
    <mergeCell ref="G184:H184"/>
    <mergeCell ref="I184:J184"/>
    <mergeCell ref="G185:H185"/>
    <mergeCell ref="I185:K185"/>
    <mergeCell ref="G179:H179"/>
    <mergeCell ref="G180:H180"/>
    <mergeCell ref="G181:H181"/>
    <mergeCell ref="G182:H182"/>
    <mergeCell ref="G183:H183"/>
    <mergeCell ref="G187:H187"/>
    <mergeCell ref="I192:J192"/>
    <mergeCell ref="I193:K193"/>
    <mergeCell ref="G195:H195"/>
    <mergeCell ref="J155:K155"/>
    <mergeCell ref="I156:J156"/>
    <mergeCell ref="K156:L156"/>
    <mergeCell ref="G177:H177"/>
    <mergeCell ref="G178:H178"/>
    <mergeCell ref="G151:H151"/>
    <mergeCell ref="I152:K152"/>
    <mergeCell ref="G153:H153"/>
    <mergeCell ref="I153:J153"/>
    <mergeCell ref="I154:K154"/>
    <mergeCell ref="G163:H163"/>
    <mergeCell ref="G164:H164"/>
    <mergeCell ref="J165:K165"/>
    <mergeCell ref="G167:H167"/>
    <mergeCell ref="G169:H169"/>
    <mergeCell ref="G170:H170"/>
    <mergeCell ref="G171:H171"/>
    <mergeCell ref="G172:H172"/>
    <mergeCell ref="G173:H173"/>
    <mergeCell ref="G174:H174"/>
    <mergeCell ref="J175:K175"/>
    <mergeCell ref="G144:H144"/>
    <mergeCell ref="K145:L145"/>
    <mergeCell ref="G147:H147"/>
    <mergeCell ref="G148:H148"/>
    <mergeCell ref="G150:H150"/>
    <mergeCell ref="I139:J139"/>
    <mergeCell ref="K139:L139"/>
    <mergeCell ref="G141:H141"/>
    <mergeCell ref="G142:H142"/>
    <mergeCell ref="G143:H143"/>
    <mergeCell ref="I134:K134"/>
    <mergeCell ref="G135:H135"/>
    <mergeCell ref="I135:J135"/>
    <mergeCell ref="J136:K136"/>
    <mergeCell ref="J137:K137"/>
    <mergeCell ref="G122:H122"/>
    <mergeCell ref="G123:H123"/>
    <mergeCell ref="I130:K130"/>
    <mergeCell ref="G132:H132"/>
    <mergeCell ref="G133:H133"/>
    <mergeCell ref="J110:K110"/>
    <mergeCell ref="J113:K113"/>
    <mergeCell ref="J117:K117"/>
    <mergeCell ref="J118:K118"/>
    <mergeCell ref="I120:J120"/>
    <mergeCell ref="K120:L120"/>
    <mergeCell ref="G106:H106"/>
    <mergeCell ref="I107:K107"/>
    <mergeCell ref="G108:H108"/>
    <mergeCell ref="I108:J108"/>
    <mergeCell ref="J109:K109"/>
    <mergeCell ref="K95:L95"/>
    <mergeCell ref="G97:H97"/>
    <mergeCell ref="G98:H98"/>
    <mergeCell ref="I103:K103"/>
    <mergeCell ref="G105:H105"/>
    <mergeCell ref="G91:H91"/>
    <mergeCell ref="G92:H92"/>
    <mergeCell ref="G93:H93"/>
    <mergeCell ref="G94:H94"/>
    <mergeCell ref="I95:J95"/>
    <mergeCell ref="G87:H87"/>
    <mergeCell ref="G88:H88"/>
    <mergeCell ref="I89:J89"/>
    <mergeCell ref="K89:L89"/>
    <mergeCell ref="B90:L90"/>
    <mergeCell ref="G82:H82"/>
    <mergeCell ref="G83:H83"/>
    <mergeCell ref="G84:H84"/>
    <mergeCell ref="G85:H85"/>
    <mergeCell ref="G86:H86"/>
    <mergeCell ref="I77:J77"/>
    <mergeCell ref="K77:L77"/>
    <mergeCell ref="G79:H79"/>
    <mergeCell ref="G80:H80"/>
    <mergeCell ref="G81:H81"/>
    <mergeCell ref="G72:H72"/>
    <mergeCell ref="G73:H73"/>
    <mergeCell ref="G74:H74"/>
    <mergeCell ref="G75:H75"/>
    <mergeCell ref="G76:H76"/>
    <mergeCell ref="G67:H67"/>
    <mergeCell ref="G68:H68"/>
    <mergeCell ref="G69:H69"/>
    <mergeCell ref="G70:H70"/>
    <mergeCell ref="G71:H71"/>
    <mergeCell ref="G63:H63"/>
    <mergeCell ref="G64:H64"/>
    <mergeCell ref="I65:J65"/>
    <mergeCell ref="K65:L65"/>
    <mergeCell ref="B66:L66"/>
    <mergeCell ref="G59:H59"/>
    <mergeCell ref="G60:H60"/>
    <mergeCell ref="G61:H61"/>
    <mergeCell ref="G62:H62"/>
    <mergeCell ref="G53:H53"/>
    <mergeCell ref="G54:H54"/>
    <mergeCell ref="G55:H55"/>
    <mergeCell ref="G56:H56"/>
    <mergeCell ref="G57:H57"/>
    <mergeCell ref="G50:H50"/>
    <mergeCell ref="G51:H51"/>
    <mergeCell ref="G52:H52"/>
    <mergeCell ref="G43:H43"/>
    <mergeCell ref="G44:H44"/>
    <mergeCell ref="G45:H45"/>
    <mergeCell ref="G46:H46"/>
    <mergeCell ref="G47:H47"/>
    <mergeCell ref="G58:H58"/>
    <mergeCell ref="G41:H41"/>
    <mergeCell ref="G42:H42"/>
    <mergeCell ref="G33:H33"/>
    <mergeCell ref="G34:H34"/>
    <mergeCell ref="G35:H35"/>
    <mergeCell ref="G36:H36"/>
    <mergeCell ref="G37:H37"/>
    <mergeCell ref="G48:H48"/>
    <mergeCell ref="G49:H49"/>
    <mergeCell ref="G32:H32"/>
    <mergeCell ref="G23:H23"/>
    <mergeCell ref="G24:H24"/>
    <mergeCell ref="G25:H25"/>
    <mergeCell ref="G26:H26"/>
    <mergeCell ref="G27:H27"/>
    <mergeCell ref="G38:H38"/>
    <mergeCell ref="G39:H39"/>
    <mergeCell ref="G40:H40"/>
    <mergeCell ref="G1:H1"/>
    <mergeCell ref="J1:L7"/>
    <mergeCell ref="C2:F2"/>
    <mergeCell ref="G2:H2"/>
    <mergeCell ref="C3:F3"/>
    <mergeCell ref="G3:H3"/>
    <mergeCell ref="C4:F4"/>
    <mergeCell ref="G4:H4"/>
    <mergeCell ref="B8:L8"/>
    <mergeCell ref="C5:F5"/>
    <mergeCell ref="B9:L9"/>
    <mergeCell ref="G10:H10"/>
    <mergeCell ref="G11:H11"/>
    <mergeCell ref="G12:H12"/>
    <mergeCell ref="G158:H158"/>
    <mergeCell ref="G159:H159"/>
    <mergeCell ref="G160:H160"/>
    <mergeCell ref="G161:H161"/>
    <mergeCell ref="G162:H162"/>
    <mergeCell ref="I145:J145"/>
    <mergeCell ref="G18:H18"/>
    <mergeCell ref="I19:J19"/>
    <mergeCell ref="K19:L19"/>
    <mergeCell ref="G21:H21"/>
    <mergeCell ref="G22:H22"/>
    <mergeCell ref="G13:H13"/>
    <mergeCell ref="G14:H14"/>
    <mergeCell ref="G15:H15"/>
    <mergeCell ref="G16:H16"/>
    <mergeCell ref="G17:H17"/>
    <mergeCell ref="G28:H28"/>
    <mergeCell ref="G29:H29"/>
    <mergeCell ref="G30:H30"/>
    <mergeCell ref="G31:H31"/>
  </mergeCells>
  <conditionalFormatting sqref="D19:D21 C71:F73 F19:F21 C95 C104:C113 B89:F91 B75:F79 B97:F97 B99:F102 I109:J119 I136:J138 I155:J155">
    <cfRule type="expression" dxfId="197" priority="285" stopIfTrue="1">
      <formula>AND($B19&lt;&gt;"COMPOSICAO",$B19&lt;&gt;"INSUMO",$B19&lt;&gt;"")</formula>
    </cfRule>
    <cfRule type="expression" dxfId="196" priority="286" stopIfTrue="1">
      <formula>AND(OR($B19="COMPOSICAO",$B19="INSUMO",$B19&lt;&gt;""),$B19&lt;&gt;"")</formula>
    </cfRule>
  </conditionalFormatting>
  <conditionalFormatting sqref="C104:C113 C95 C97 C99:C102">
    <cfRule type="expression" dxfId="195" priority="279" stopIfTrue="1">
      <formula>AND($B95&lt;&gt;"COMPOSICAO",$B95&lt;&gt;"INSUMO",$B95&lt;&gt;"")</formula>
    </cfRule>
    <cfRule type="expression" dxfId="194" priority="280" stopIfTrue="1">
      <formula>AND(OR($B95="COMPOSICAO",$B95="INSUMO",$B95&lt;&gt;""),$B95&lt;&gt;"")</formula>
    </cfRule>
  </conditionalFormatting>
  <conditionalFormatting sqref="B6:E9">
    <cfRule type="expression" dxfId="193" priority="275" stopIfTrue="1">
      <formula>AND($B6&lt;&gt;"COMPOSICAO",$B6&lt;&gt;"INSUMO",$B6&lt;&gt;"")</formula>
    </cfRule>
    <cfRule type="expression" dxfId="192" priority="276" stopIfTrue="1">
      <formula>AND(OR($B6="COMPOSICAO",$B6="INSUMO",$B6&lt;&gt;""),$B6&lt;&gt;"")</formula>
    </cfRule>
  </conditionalFormatting>
  <conditionalFormatting sqref="F6:F9">
    <cfRule type="expression" dxfId="191" priority="273" stopIfTrue="1">
      <formula>AND($B6&lt;&gt;"COMPOSICAO",$B6&lt;&gt;"INSUMO",$B6&lt;&gt;"")</formula>
    </cfRule>
    <cfRule type="expression" dxfId="190" priority="274" stopIfTrue="1">
      <formula>AND(OR($B6="COMPOSICAO",$B6="INSUMO",$B6&lt;&gt;""),$B6&lt;&gt;"")</formula>
    </cfRule>
  </conditionalFormatting>
  <conditionalFormatting sqref="C19:E21">
    <cfRule type="expression" dxfId="189" priority="271" stopIfTrue="1">
      <formula>AND($B19&lt;&gt;"COMPOSICAO",$B19&lt;&gt;"INSUMO",$B19&lt;&gt;"")</formula>
    </cfRule>
    <cfRule type="expression" dxfId="188" priority="272" stopIfTrue="1">
      <formula>AND(OR($B19="COMPOSICAO",$B19="INSUMO",$B19&lt;&gt;""),$B19&lt;&gt;"")</formula>
    </cfRule>
  </conditionalFormatting>
  <conditionalFormatting sqref="F19:F21">
    <cfRule type="expression" dxfId="187" priority="269" stopIfTrue="1">
      <formula>AND($B19&lt;&gt;"COMPOSICAO",$B19&lt;&gt;"INSUMO",$B19&lt;&gt;"")</formula>
    </cfRule>
    <cfRule type="expression" dxfId="186" priority="270" stopIfTrue="1">
      <formula>AND(OR($B19="COMPOSICAO",$B19="INSUMO",$B19&lt;&gt;""),$B19&lt;&gt;"")</formula>
    </cfRule>
  </conditionalFormatting>
  <conditionalFormatting sqref="B65:E68">
    <cfRule type="expression" dxfId="185" priority="263" stopIfTrue="1">
      <formula>AND($B65&lt;&gt;"COMPOSICAO",$B65&lt;&gt;"INSUMO",$B65&lt;&gt;"")</formula>
    </cfRule>
    <cfRule type="expression" dxfId="184" priority="264" stopIfTrue="1">
      <formula>AND(OR($B65="COMPOSICAO",$B65="INSUMO",$B65&lt;&gt;""),$B65&lt;&gt;"")</formula>
    </cfRule>
  </conditionalFormatting>
  <conditionalFormatting sqref="F65:F68">
    <cfRule type="expression" dxfId="183" priority="261" stopIfTrue="1">
      <formula>AND($B65&lt;&gt;"COMPOSICAO",$B65&lt;&gt;"INSUMO",$B65&lt;&gt;"")</formula>
    </cfRule>
    <cfRule type="expression" dxfId="182" priority="262" stopIfTrue="1">
      <formula>AND(OR($B65="COMPOSICAO",$B65="INSUMO",$B65&lt;&gt;""),$B65&lt;&gt;"")</formula>
    </cfRule>
  </conditionalFormatting>
  <conditionalFormatting sqref="B71:E72">
    <cfRule type="expression" dxfId="181" priority="259" stopIfTrue="1">
      <formula>AND($B71&lt;&gt;"COMPOSICAO",$B71&lt;&gt;"INSUMO",$B71&lt;&gt;"")</formula>
    </cfRule>
    <cfRule type="expression" dxfId="180" priority="260" stopIfTrue="1">
      <formula>AND(OR($B71="COMPOSICAO",$B71="INSUMO",$B71&lt;&gt;""),$B71&lt;&gt;"")</formula>
    </cfRule>
  </conditionalFormatting>
  <conditionalFormatting sqref="F71:F72">
    <cfRule type="expression" dxfId="179" priority="257" stopIfTrue="1">
      <formula>AND($B71&lt;&gt;"COMPOSICAO",$B71&lt;&gt;"INSUMO",$B71&lt;&gt;"")</formula>
    </cfRule>
    <cfRule type="expression" dxfId="178" priority="258" stopIfTrue="1">
      <formula>AND(OR($B71="COMPOSICAO",$B71="INSUMO",$B71&lt;&gt;""),$B71&lt;&gt;"")</formula>
    </cfRule>
  </conditionalFormatting>
  <conditionalFormatting sqref="B104:E113">
    <cfRule type="expression" dxfId="177" priority="251" stopIfTrue="1">
      <formula>AND($B104&lt;&gt;"COMPOSICAO",$B104&lt;&gt;"INSUMO",$B104&lt;&gt;"")</formula>
    </cfRule>
    <cfRule type="expression" dxfId="176" priority="252" stopIfTrue="1">
      <formula>AND(OR($B104="COMPOSICAO",$B104="INSUMO",$B104&lt;&gt;""),$B104&lt;&gt;"")</formula>
    </cfRule>
  </conditionalFormatting>
  <conditionalFormatting sqref="F104:F113">
    <cfRule type="expression" dxfId="175" priority="249" stopIfTrue="1">
      <formula>AND($B104&lt;&gt;"COMPOSICAO",$B104&lt;&gt;"INSUMO",$B104&lt;&gt;"")</formula>
    </cfRule>
    <cfRule type="expression" dxfId="174" priority="250" stopIfTrue="1">
      <formula>AND(OR($B104="COMPOSICAO",$B104="INSUMO",$B104&lt;&gt;""),$B104&lt;&gt;"")</formula>
    </cfRule>
  </conditionalFormatting>
  <conditionalFormatting sqref="B115:E120">
    <cfRule type="expression" dxfId="173" priority="247" stopIfTrue="1">
      <formula>AND($B115&lt;&gt;"COMPOSICAO",$B115&lt;&gt;"INSUMO",$B115&lt;&gt;"")</formula>
    </cfRule>
    <cfRule type="expression" dxfId="172" priority="248" stopIfTrue="1">
      <formula>AND(OR($B115="COMPOSICAO",$B115="INSUMO",$B115&lt;&gt;""),$B115&lt;&gt;"")</formula>
    </cfRule>
  </conditionalFormatting>
  <conditionalFormatting sqref="F115:F120">
    <cfRule type="expression" dxfId="171" priority="245" stopIfTrue="1">
      <formula>AND($B115&lt;&gt;"COMPOSICAO",$B115&lt;&gt;"INSUMO",$B115&lt;&gt;"")</formula>
    </cfRule>
    <cfRule type="expression" dxfId="170" priority="246" stopIfTrue="1">
      <formula>AND(OR($B115="COMPOSICAO",$B115="INSUMO",$B115&lt;&gt;""),$B115&lt;&gt;"")</formula>
    </cfRule>
  </conditionalFormatting>
  <conditionalFormatting sqref="B124:E128">
    <cfRule type="expression" dxfId="169" priority="239" stopIfTrue="1">
      <formula>AND($B124&lt;&gt;"COMPOSICAO",$B124&lt;&gt;"INSUMO",$B124&lt;&gt;"")</formula>
    </cfRule>
    <cfRule type="expression" dxfId="168" priority="240" stopIfTrue="1">
      <formula>AND(OR($B124="COMPOSICAO",$B124="INSUMO",$B124&lt;&gt;""),$B124&lt;&gt;"")</formula>
    </cfRule>
  </conditionalFormatting>
  <conditionalFormatting sqref="F124:F128">
    <cfRule type="expression" dxfId="167" priority="237" stopIfTrue="1">
      <formula>AND($B124&lt;&gt;"COMPOSICAO",$B124&lt;&gt;"INSUMO",$B124&lt;&gt;"")</formula>
    </cfRule>
    <cfRule type="expression" dxfId="166" priority="238" stopIfTrue="1">
      <formula>AND(OR($B124="COMPOSICAO",$B124="INSUMO",$B124&lt;&gt;""),$B124&lt;&gt;"")</formula>
    </cfRule>
  </conditionalFormatting>
  <conditionalFormatting sqref="C6:D9">
    <cfRule type="expression" dxfId="165" priority="233" stopIfTrue="1">
      <formula>AND($B6&lt;&gt;"COMPOSICAO",$B6&lt;&gt;"INSUMO",$B6&lt;&gt;"")</formula>
    </cfRule>
    <cfRule type="expression" dxfId="164" priority="234" stopIfTrue="1">
      <formula>AND(OR($B6="COMPOSICAO",$B6="INSUMO",$B6&lt;&gt;""),$B6&lt;&gt;"")</formula>
    </cfRule>
  </conditionalFormatting>
  <conditionalFormatting sqref="E6:E9">
    <cfRule type="expression" dxfId="163" priority="231" stopIfTrue="1">
      <formula>AND($B6&lt;&gt;"COMPOSICAO",$B6&lt;&gt;"INSUMO",$B6&lt;&gt;"")</formula>
    </cfRule>
    <cfRule type="expression" dxfId="162" priority="232" stopIfTrue="1">
      <formula>AND(OR($B6="COMPOSICAO",$B6="INSUMO",$B6&lt;&gt;""),$B6&lt;&gt;"")</formula>
    </cfRule>
  </conditionalFormatting>
  <conditionalFormatting sqref="F6:F9">
    <cfRule type="expression" dxfId="161" priority="229" stopIfTrue="1">
      <formula>AND($B6&lt;&gt;"COMPOSICAO",$B6&lt;&gt;"INSUMO",$B6&lt;&gt;"")</formula>
    </cfRule>
    <cfRule type="expression" dxfId="160" priority="230" stopIfTrue="1">
      <formula>AND(OR($B6="COMPOSICAO",$B6="INSUMO",$B6&lt;&gt;""),$B6&lt;&gt;"")</formula>
    </cfRule>
  </conditionalFormatting>
  <conditionalFormatting sqref="C19:E21">
    <cfRule type="expression" dxfId="159" priority="227" stopIfTrue="1">
      <formula>AND($B19&lt;&gt;"COMPOSICAO",$B19&lt;&gt;"INSUMO",$B19&lt;&gt;"")</formula>
    </cfRule>
    <cfRule type="expression" dxfId="158" priority="228" stopIfTrue="1">
      <formula>AND(OR($B19="COMPOSICAO",$B19="INSUMO",$B19&lt;&gt;""),$B19&lt;&gt;"")</formula>
    </cfRule>
  </conditionalFormatting>
  <conditionalFormatting sqref="C19:D21">
    <cfRule type="expression" dxfId="157" priority="225" stopIfTrue="1">
      <formula>AND($B19&lt;&gt;"COMPOSICAO",$B19&lt;&gt;"INSUMO",$B19&lt;&gt;"")</formula>
    </cfRule>
    <cfRule type="expression" dxfId="156" priority="226" stopIfTrue="1">
      <formula>AND(OR($B19="COMPOSICAO",$B19="INSUMO",$B19&lt;&gt;""),$B19&lt;&gt;"")</formula>
    </cfRule>
  </conditionalFormatting>
  <conditionalFormatting sqref="E19:E21">
    <cfRule type="expression" dxfId="155" priority="223" stopIfTrue="1">
      <formula>AND($B19&lt;&gt;"COMPOSICAO",$B19&lt;&gt;"INSUMO",$B19&lt;&gt;"")</formula>
    </cfRule>
    <cfRule type="expression" dxfId="154" priority="224" stopIfTrue="1">
      <formula>AND(OR($B19="COMPOSICAO",$B19="INSUMO",$B19&lt;&gt;""),$B19&lt;&gt;"")</formula>
    </cfRule>
  </conditionalFormatting>
  <conditionalFormatting sqref="F19:F21">
    <cfRule type="expression" dxfId="153" priority="221" stopIfTrue="1">
      <formula>AND($B19&lt;&gt;"COMPOSICAO",$B19&lt;&gt;"INSUMO",$B19&lt;&gt;"")</formula>
    </cfRule>
    <cfRule type="expression" dxfId="152" priority="222" stopIfTrue="1">
      <formula>AND(OR($B19="COMPOSICAO",$B19="INSUMO",$B19&lt;&gt;""),$B19&lt;&gt;"")</formula>
    </cfRule>
  </conditionalFormatting>
  <conditionalFormatting sqref="F19:F21">
    <cfRule type="expression" dxfId="151" priority="219" stopIfTrue="1">
      <formula>AND($B19&lt;&gt;"COMPOSICAO",$B19&lt;&gt;"INSUMO",$B19&lt;&gt;"")</formula>
    </cfRule>
    <cfRule type="expression" dxfId="150" priority="220" stopIfTrue="1">
      <formula>AND(OR($B19="COMPOSICAO",$B19="INSUMO",$B19&lt;&gt;""),$B19&lt;&gt;"")</formula>
    </cfRule>
  </conditionalFormatting>
  <conditionalFormatting sqref="C65:D67">
    <cfRule type="expression" dxfId="149" priority="205" stopIfTrue="1">
      <formula>AND($B65&lt;&gt;"COMPOSICAO",$B65&lt;&gt;"INSUMO",$B65&lt;&gt;"")</formula>
    </cfRule>
    <cfRule type="expression" dxfId="148" priority="206" stopIfTrue="1">
      <formula>AND(OR($B65="COMPOSICAO",$B65="INSUMO",$B65&lt;&gt;""),$B65&lt;&gt;"")</formula>
    </cfRule>
  </conditionalFormatting>
  <conditionalFormatting sqref="E65:E67">
    <cfRule type="expression" dxfId="147" priority="203" stopIfTrue="1">
      <formula>AND($B65&lt;&gt;"COMPOSICAO",$B65&lt;&gt;"INSUMO",$B65&lt;&gt;"")</formula>
    </cfRule>
    <cfRule type="expression" dxfId="146" priority="204" stopIfTrue="1">
      <formula>AND(OR($B65="COMPOSICAO",$B65="INSUMO",$B65&lt;&gt;""),$B65&lt;&gt;"")</formula>
    </cfRule>
  </conditionalFormatting>
  <conditionalFormatting sqref="F65:F67">
    <cfRule type="expression" dxfId="145" priority="201" stopIfTrue="1">
      <formula>AND($B65&lt;&gt;"COMPOSICAO",$B65&lt;&gt;"INSUMO",$B65&lt;&gt;"")</formula>
    </cfRule>
    <cfRule type="expression" dxfId="144" priority="202" stopIfTrue="1">
      <formula>AND(OR($B65="COMPOSICAO",$B65="INSUMO",$B65&lt;&gt;""),$B65&lt;&gt;"")</formula>
    </cfRule>
  </conditionalFormatting>
  <conditionalFormatting sqref="C104:D112">
    <cfRule type="expression" dxfId="143" priority="193" stopIfTrue="1">
      <formula>AND($B104&lt;&gt;"COMPOSICAO",$B104&lt;&gt;"INSUMO",$B104&lt;&gt;"")</formula>
    </cfRule>
    <cfRule type="expression" dxfId="142" priority="194" stopIfTrue="1">
      <formula>AND(OR($B104="COMPOSICAO",$B104="INSUMO",$B104&lt;&gt;""),$B104&lt;&gt;"")</formula>
    </cfRule>
  </conditionalFormatting>
  <conditionalFormatting sqref="E104:E112">
    <cfRule type="expression" dxfId="141" priority="191" stopIfTrue="1">
      <formula>AND($B104&lt;&gt;"COMPOSICAO",$B104&lt;&gt;"INSUMO",$B104&lt;&gt;"")</formula>
    </cfRule>
    <cfRule type="expression" dxfId="140" priority="192" stopIfTrue="1">
      <formula>AND(OR($B104="COMPOSICAO",$B104="INSUMO",$B104&lt;&gt;""),$B104&lt;&gt;"")</formula>
    </cfRule>
  </conditionalFormatting>
  <conditionalFormatting sqref="F104:F112">
    <cfRule type="expression" dxfId="139" priority="189" stopIfTrue="1">
      <formula>AND($B104&lt;&gt;"COMPOSICAO",$B104&lt;&gt;"INSUMO",$B104&lt;&gt;"")</formula>
    </cfRule>
    <cfRule type="expression" dxfId="138" priority="190" stopIfTrue="1">
      <formula>AND(OR($B104="COMPOSICAO",$B104="INSUMO",$B104&lt;&gt;""),$B104&lt;&gt;"")</formula>
    </cfRule>
  </conditionalFormatting>
  <conditionalFormatting sqref="C115:D120">
    <cfRule type="expression" dxfId="137" priority="187" stopIfTrue="1">
      <formula>AND($B115&lt;&gt;"COMPOSICAO",$B115&lt;&gt;"INSUMO",$B115&lt;&gt;"")</formula>
    </cfRule>
    <cfRule type="expression" dxfId="136" priority="188" stopIfTrue="1">
      <formula>AND(OR($B115="COMPOSICAO",$B115="INSUMO",$B115&lt;&gt;""),$B115&lt;&gt;"")</formula>
    </cfRule>
  </conditionalFormatting>
  <conditionalFormatting sqref="C115:D120">
    <cfRule type="expression" dxfId="135" priority="185" stopIfTrue="1">
      <formula>AND($B115&lt;&gt;"COMPOSICAO",$B115&lt;&gt;"INSUMO",$B115&lt;&gt;"")</formula>
    </cfRule>
    <cfRule type="expression" dxfId="134" priority="186" stopIfTrue="1">
      <formula>AND(OR($B115="COMPOSICAO",$B115="INSUMO",$B115&lt;&gt;""),$B115&lt;&gt;"")</formula>
    </cfRule>
  </conditionalFormatting>
  <conditionalFormatting sqref="F115:F120">
    <cfRule type="expression" dxfId="133" priority="181" stopIfTrue="1">
      <formula>AND($B115&lt;&gt;"COMPOSICAO",$B115&lt;&gt;"INSUMO",$B115&lt;&gt;"")</formula>
    </cfRule>
    <cfRule type="expression" dxfId="132" priority="182" stopIfTrue="1">
      <formula>AND(OR($B115="COMPOSICAO",$B115="INSUMO",$B115&lt;&gt;""),$B115&lt;&gt;"")</formula>
    </cfRule>
  </conditionalFormatting>
  <conditionalFormatting sqref="E115:E120">
    <cfRule type="expression" dxfId="131" priority="183" stopIfTrue="1">
      <formula>AND($B115&lt;&gt;"COMPOSICAO",$B115&lt;&gt;"INSUMO",$B115&lt;&gt;"")</formula>
    </cfRule>
    <cfRule type="expression" dxfId="130" priority="184" stopIfTrue="1">
      <formula>AND(OR($B115="COMPOSICAO",$B115="INSUMO",$B115&lt;&gt;""),$B115&lt;&gt;"")</formula>
    </cfRule>
  </conditionalFormatting>
  <conditionalFormatting sqref="C124:D130">
    <cfRule type="expression" dxfId="129" priority="173" stopIfTrue="1">
      <formula>AND($B124&lt;&gt;"COMPOSICAO",$B124&lt;&gt;"INSUMO",$B124&lt;&gt;"")</formula>
    </cfRule>
    <cfRule type="expression" dxfId="128" priority="174" stopIfTrue="1">
      <formula>AND(OR($B124="COMPOSICAO",$B124="INSUMO",$B124&lt;&gt;""),$B124&lt;&gt;"")</formula>
    </cfRule>
  </conditionalFormatting>
  <conditionalFormatting sqref="E124:E130">
    <cfRule type="expression" dxfId="127" priority="171" stopIfTrue="1">
      <formula>AND($B124&lt;&gt;"COMPOSICAO",$B124&lt;&gt;"INSUMO",$B124&lt;&gt;"")</formula>
    </cfRule>
    <cfRule type="expression" dxfId="126" priority="172" stopIfTrue="1">
      <formula>AND(OR($B124="COMPOSICAO",$B124="INSUMO",$B124&lt;&gt;""),$B124&lt;&gt;"")</formula>
    </cfRule>
  </conditionalFormatting>
  <conditionalFormatting sqref="F124:F130">
    <cfRule type="expression" dxfId="125" priority="169" stopIfTrue="1">
      <formula>AND($B124&lt;&gt;"COMPOSICAO",$B124&lt;&gt;"INSUMO",$B124&lt;&gt;"")</formula>
    </cfRule>
    <cfRule type="expression" dxfId="124" priority="170" stopIfTrue="1">
      <formula>AND(OR($B124="COMPOSICAO",$B124="INSUMO",$B124&lt;&gt;""),$B124&lt;&gt;"")</formula>
    </cfRule>
  </conditionalFormatting>
  <conditionalFormatting sqref="C67:E67">
    <cfRule type="expression" dxfId="123" priority="167" stopIfTrue="1">
      <formula>AND($B67&lt;&gt;"COMPOSICAO",$B67&lt;&gt;"INSUMO",$B67&lt;&gt;"")</formula>
    </cfRule>
    <cfRule type="expression" dxfId="122" priority="168" stopIfTrue="1">
      <formula>AND(OR($B67="COMPOSICAO",$B67="INSUMO",$B67&lt;&gt;""),$B67&lt;&gt;"")</formula>
    </cfRule>
  </conditionalFormatting>
  <conditionalFormatting sqref="F67">
    <cfRule type="expression" dxfId="121" priority="165" stopIfTrue="1">
      <formula>AND($B67&lt;&gt;"COMPOSICAO",$B67&lt;&gt;"INSUMO",$B67&lt;&gt;"")</formula>
    </cfRule>
    <cfRule type="expression" dxfId="120" priority="166" stopIfTrue="1">
      <formula>AND(OR($B67="COMPOSICAO",$B67="INSUMO",$B67&lt;&gt;""),$B67&lt;&gt;"")</formula>
    </cfRule>
  </conditionalFormatting>
  <conditionalFormatting sqref="D67">
    <cfRule type="expression" dxfId="119" priority="163" stopIfTrue="1">
      <formula>AND($B67&lt;&gt;"COMPOSICAO",$B67&lt;&gt;"INSUMO",$B67&lt;&gt;"")</formula>
    </cfRule>
    <cfRule type="expression" dxfId="118" priority="164" stopIfTrue="1">
      <formula>AND(OR($B67="COMPOSICAO",$B67="INSUMO",$B67&lt;&gt;""),$B67&lt;&gt;"")</formula>
    </cfRule>
  </conditionalFormatting>
  <conditionalFormatting sqref="D67">
    <cfRule type="expression" dxfId="117" priority="161" stopIfTrue="1">
      <formula>AND($B67&lt;&gt;"COMPOSICAO",$B67&lt;&gt;"INSUMO",$B67&lt;&gt;"")</formula>
    </cfRule>
    <cfRule type="expression" dxfId="116" priority="162" stopIfTrue="1">
      <formula>AND(OR($B67="COMPOSICAO",$B67="INSUMO",$B67&lt;&gt;""),$B67&lt;&gt;"")</formula>
    </cfRule>
  </conditionalFormatting>
  <conditionalFormatting sqref="C104:D112">
    <cfRule type="expression" dxfId="115" priority="159" stopIfTrue="1">
      <formula>AND($B104&lt;&gt;"COMPOSICAO",$B104&lt;&gt;"INSUMO",$B104&lt;&gt;"")</formula>
    </cfRule>
    <cfRule type="expression" dxfId="114" priority="160" stopIfTrue="1">
      <formula>AND(OR($B104="COMPOSICAO",$B104="INSUMO",$B104&lt;&gt;""),$B104&lt;&gt;"")</formula>
    </cfRule>
  </conditionalFormatting>
  <conditionalFormatting sqref="E104:E112">
    <cfRule type="expression" dxfId="113" priority="157" stopIfTrue="1">
      <formula>AND($B104&lt;&gt;"COMPOSICAO",$B104&lt;&gt;"INSUMO",$B104&lt;&gt;"")</formula>
    </cfRule>
    <cfRule type="expression" dxfId="112" priority="158" stopIfTrue="1">
      <formula>AND(OR($B104="COMPOSICAO",$B104="INSUMO",$B104&lt;&gt;""),$B104&lt;&gt;"")</formula>
    </cfRule>
  </conditionalFormatting>
  <conditionalFormatting sqref="F104:F112">
    <cfRule type="expression" dxfId="111" priority="155" stopIfTrue="1">
      <formula>AND($B104&lt;&gt;"COMPOSICAO",$B104&lt;&gt;"INSUMO",$B104&lt;&gt;"")</formula>
    </cfRule>
    <cfRule type="expression" dxfId="110" priority="156" stopIfTrue="1">
      <formula>AND(OR($B104="COMPOSICAO",$B104="INSUMO",$B104&lt;&gt;""),$B104&lt;&gt;"")</formula>
    </cfRule>
  </conditionalFormatting>
  <conditionalFormatting sqref="C19:F21">
    <cfRule type="expression" dxfId="109" priority="153" stopIfTrue="1">
      <formula>AND($B19&lt;&gt;"COMPOSICAO",$B19&lt;&gt;"INSUMO",$B19&lt;&gt;"")</formula>
    </cfRule>
    <cfRule type="expression" dxfId="108" priority="154" stopIfTrue="1">
      <formula>AND(OR($B19="COMPOSICAO",$B19="INSUMO",$B19&lt;&gt;""),$B19&lt;&gt;"")</formula>
    </cfRule>
  </conditionalFormatting>
  <conditionalFormatting sqref="C19:D21">
    <cfRule type="expression" dxfId="107" priority="151" stopIfTrue="1">
      <formula>AND($B19&lt;&gt;"COMPOSICAO",$B19&lt;&gt;"INSUMO",$B19&lt;&gt;"")</formula>
    </cfRule>
    <cfRule type="expression" dxfId="106" priority="152" stopIfTrue="1">
      <formula>AND(OR($B19="COMPOSICAO",$B19="INSUMO",$B19&lt;&gt;""),$B19&lt;&gt;"")</formula>
    </cfRule>
  </conditionalFormatting>
  <conditionalFormatting sqref="F19:F21">
    <cfRule type="expression" dxfId="105" priority="149" stopIfTrue="1">
      <formula>AND($B19&lt;&gt;"COMPOSICAO",$B19&lt;&gt;"INSUMO",$B19&lt;&gt;"")</formula>
    </cfRule>
    <cfRule type="expression" dxfId="104" priority="150" stopIfTrue="1">
      <formula>AND(OR($B19="COMPOSICAO",$B19="INSUMO",$B19&lt;&gt;""),$B19&lt;&gt;"")</formula>
    </cfRule>
  </conditionalFormatting>
  <conditionalFormatting sqref="E19:E21">
    <cfRule type="expression" dxfId="103" priority="147" stopIfTrue="1">
      <formula>AND($B19&lt;&gt;"COMPOSICAO",$B19&lt;&gt;"INSUMO",$B19&lt;&gt;"")</formula>
    </cfRule>
    <cfRule type="expression" dxfId="102" priority="148" stopIfTrue="1">
      <formula>AND(OR($B19="COMPOSICAO",$B19="INSUMO",$B19&lt;&gt;""),$B19&lt;&gt;"")</formula>
    </cfRule>
  </conditionalFormatting>
  <conditionalFormatting sqref="C89:D91">
    <cfRule type="expression" dxfId="101" priority="137" stopIfTrue="1">
      <formula>AND($B89&lt;&gt;"COMPOSICAO",$B89&lt;&gt;"INSUMO",$B89&lt;&gt;"")</formula>
    </cfRule>
    <cfRule type="expression" dxfId="100" priority="138" stopIfTrue="1">
      <formula>AND(OR($B89="COMPOSICAO",$B89="INSUMO",$B89&lt;&gt;""),$B89&lt;&gt;"")</formula>
    </cfRule>
  </conditionalFormatting>
  <conditionalFormatting sqref="E89:E91">
    <cfRule type="expression" dxfId="99" priority="135" stopIfTrue="1">
      <formula>AND($B89&lt;&gt;"COMPOSICAO",$B89&lt;&gt;"INSUMO",$B89&lt;&gt;"")</formula>
    </cfRule>
    <cfRule type="expression" dxfId="98" priority="136" stopIfTrue="1">
      <formula>AND(OR($B89="COMPOSICAO",$B89="INSUMO",$B89&lt;&gt;""),$B89&lt;&gt;"")</formula>
    </cfRule>
  </conditionalFormatting>
  <conditionalFormatting sqref="F89:F91">
    <cfRule type="expression" dxfId="97" priority="133" stopIfTrue="1">
      <formula>AND($B89&lt;&gt;"COMPOSICAO",$B89&lt;&gt;"INSUMO",$B89&lt;&gt;"")</formula>
    </cfRule>
    <cfRule type="expression" dxfId="96" priority="134" stopIfTrue="1">
      <formula>AND(OR($B89="COMPOSICAO",$B89="INSUMO",$B89&lt;&gt;""),$B89&lt;&gt;"")</formula>
    </cfRule>
  </conditionalFormatting>
  <conditionalFormatting sqref="C69">
    <cfRule type="expression" dxfId="95" priority="127" stopIfTrue="1">
      <formula>AND($B69&lt;&gt;"COMPOSICAO",$B69&lt;&gt;"INSUMO",$B69&lt;&gt;"")</formula>
    </cfRule>
    <cfRule type="expression" dxfId="94" priority="128" stopIfTrue="1">
      <formula>AND(OR($B69="COMPOSICAO",$B69="INSUMO",$B69&lt;&gt;""),$B69&lt;&gt;"")</formula>
    </cfRule>
  </conditionalFormatting>
  <conditionalFormatting sqref="B69">
    <cfRule type="expression" dxfId="93" priority="125" stopIfTrue="1">
      <formula>AND($B69&lt;&gt;"COMPOSICAO",$B69&lt;&gt;"INSUMO",$B69&lt;&gt;"")</formula>
    </cfRule>
    <cfRule type="expression" dxfId="92" priority="126" stopIfTrue="1">
      <formula>AND(OR($B69="COMPOSICAO",$B69="INSUMO",$B69&lt;&gt;""),$B69&lt;&gt;"")</formula>
    </cfRule>
  </conditionalFormatting>
  <conditionalFormatting sqref="D69">
    <cfRule type="expression" dxfId="91" priority="123" stopIfTrue="1">
      <formula>AND($B69&lt;&gt;"COMPOSICAO",$B69&lt;&gt;"INSUMO",$B69&lt;&gt;"")</formula>
    </cfRule>
    <cfRule type="expression" dxfId="90" priority="124" stopIfTrue="1">
      <formula>AND(OR($B69="COMPOSICAO",$B69="INSUMO",$B69&lt;&gt;""),$B69&lt;&gt;"")</formula>
    </cfRule>
  </conditionalFormatting>
  <conditionalFormatting sqref="E69">
    <cfRule type="expression" dxfId="89" priority="121" stopIfTrue="1">
      <formula>AND($B69&lt;&gt;"COMPOSICAO",$B69&lt;&gt;"INSUMO",$B69&lt;&gt;"")</formula>
    </cfRule>
    <cfRule type="expression" dxfId="88" priority="122" stopIfTrue="1">
      <formula>AND(OR($B69="COMPOSICAO",$B69="INSUMO",$B69&lt;&gt;""),$B69&lt;&gt;"")</formula>
    </cfRule>
  </conditionalFormatting>
  <conditionalFormatting sqref="F69">
    <cfRule type="expression" dxfId="87" priority="119" stopIfTrue="1">
      <formula>AND($B69&lt;&gt;"COMPOSICAO",$B69&lt;&gt;"INSUMO",$B69&lt;&gt;"")</formula>
    </cfRule>
    <cfRule type="expression" dxfId="86" priority="120" stopIfTrue="1">
      <formula>AND(OR($B69="COMPOSICAO",$B69="INSUMO",$B69&lt;&gt;""),$B69&lt;&gt;"")</formula>
    </cfRule>
  </conditionalFormatting>
  <conditionalFormatting sqref="G69">
    <cfRule type="expression" dxfId="85" priority="117" stopIfTrue="1">
      <formula>AND($B69&lt;&gt;"COMPOSICAO",$B69&lt;&gt;"INSUMO",$B69&lt;&gt;"")</formula>
    </cfRule>
    <cfRule type="expression" dxfId="84" priority="118" stopIfTrue="1">
      <formula>AND(OR($B69="COMPOSICAO",$B69="INSUMO",$B69&lt;&gt;""),$B69&lt;&gt;"")</formula>
    </cfRule>
  </conditionalFormatting>
  <conditionalFormatting sqref="H69">
    <cfRule type="expression" dxfId="83" priority="115" stopIfTrue="1">
      <formula>AND($B69&lt;&gt;"COMPOSICAO",$B69&lt;&gt;"INSUMO",$B69&lt;&gt;"")</formula>
    </cfRule>
    <cfRule type="expression" dxfId="82" priority="116" stopIfTrue="1">
      <formula>AND(OR($B69="COMPOSICAO",$B69="INSUMO",$B69&lt;&gt;""),$B69&lt;&gt;"")</formula>
    </cfRule>
  </conditionalFormatting>
  <conditionalFormatting sqref="E95">
    <cfRule type="expression" dxfId="81" priority="109" stopIfTrue="1">
      <formula>AND($B95&lt;&gt;"COMPOSICAO",$B95&lt;&gt;"INSUMO",$B95&lt;&gt;"")</formula>
    </cfRule>
    <cfRule type="expression" dxfId="80" priority="110" stopIfTrue="1">
      <formula>AND(OR($B95="COMPOSICAO",$B95="INSUMO",$B95&lt;&gt;""),$B95&lt;&gt;"")</formula>
    </cfRule>
  </conditionalFormatting>
  <conditionalFormatting sqref="E95">
    <cfRule type="expression" dxfId="79" priority="107" stopIfTrue="1">
      <formula>AND($B95&lt;&gt;"COMPOSICAO",$B95&lt;&gt;"INSUMO",$B95&lt;&gt;"")</formula>
    </cfRule>
    <cfRule type="expression" dxfId="78" priority="108" stopIfTrue="1">
      <formula>AND(OR($B95="COMPOSICAO",$B95="INSUMO",$B95&lt;&gt;""),$B95&lt;&gt;"")</formula>
    </cfRule>
  </conditionalFormatting>
  <conditionalFormatting sqref="F95">
    <cfRule type="expression" dxfId="77" priority="105" stopIfTrue="1">
      <formula>AND($B95&lt;&gt;"COMPOSICAO",$B95&lt;&gt;"INSUMO",$B95&lt;&gt;"")</formula>
    </cfRule>
    <cfRule type="expression" dxfId="76" priority="106" stopIfTrue="1">
      <formula>AND(OR($B95="COMPOSICAO",$B95="INSUMO",$B95&lt;&gt;""),$B95&lt;&gt;"")</formula>
    </cfRule>
  </conditionalFormatting>
  <conditionalFormatting sqref="F95">
    <cfRule type="expression" dxfId="75" priority="103" stopIfTrue="1">
      <formula>AND($B95&lt;&gt;"COMPOSICAO",$B95&lt;&gt;"INSUMO",$B95&lt;&gt;"")</formula>
    </cfRule>
    <cfRule type="expression" dxfId="74" priority="104" stopIfTrue="1">
      <formula>AND(OR($B95="COMPOSICAO",$B95="INSUMO",$B95&lt;&gt;""),$B95&lt;&gt;"")</formula>
    </cfRule>
  </conditionalFormatting>
  <conditionalFormatting sqref="G95">
    <cfRule type="expression" dxfId="73" priority="101" stopIfTrue="1">
      <formula>AND($B95&lt;&gt;"COMPOSICAO",$B95&lt;&gt;"INSUMO",$B95&lt;&gt;"")</formula>
    </cfRule>
    <cfRule type="expression" dxfId="72" priority="102" stopIfTrue="1">
      <formula>AND(OR($B95="COMPOSICAO",$B95="INSUMO",$B95&lt;&gt;""),$B95&lt;&gt;"")</formula>
    </cfRule>
  </conditionalFormatting>
  <conditionalFormatting sqref="G95">
    <cfRule type="expression" dxfId="71" priority="99" stopIfTrue="1">
      <formula>AND($B95&lt;&gt;"COMPOSICAO",$B95&lt;&gt;"INSUMO",$B95&lt;&gt;"")</formula>
    </cfRule>
    <cfRule type="expression" dxfId="70" priority="100" stopIfTrue="1">
      <formula>AND(OR($B95="COMPOSICAO",$B95="INSUMO",$B95&lt;&gt;""),$B95&lt;&gt;"")</formula>
    </cfRule>
  </conditionalFormatting>
  <conditionalFormatting sqref="H95">
    <cfRule type="expression" dxfId="69" priority="97" stopIfTrue="1">
      <formula>AND($B95&lt;&gt;"COMPOSICAO",$B95&lt;&gt;"INSUMO",$B95&lt;&gt;"")</formula>
    </cfRule>
    <cfRule type="expression" dxfId="68" priority="98" stopIfTrue="1">
      <formula>AND(OR($B95="COMPOSICAO",$B95="INSUMO",$B95&lt;&gt;""),$B95&lt;&gt;"")</formula>
    </cfRule>
  </conditionalFormatting>
  <conditionalFormatting sqref="H95">
    <cfRule type="expression" dxfId="67" priority="95" stopIfTrue="1">
      <formula>AND($B95&lt;&gt;"COMPOSICAO",$B95&lt;&gt;"INSUMO",$B95&lt;&gt;"")</formula>
    </cfRule>
    <cfRule type="expression" dxfId="66" priority="96" stopIfTrue="1">
      <formula>AND(OR($B95="COMPOSICAO",$B95="INSUMO",$B95&lt;&gt;""),$B95&lt;&gt;"")</formula>
    </cfRule>
  </conditionalFormatting>
  <conditionalFormatting sqref="D95">
    <cfRule type="expression" dxfId="65" priority="93" stopIfTrue="1">
      <formula>AND($B95&lt;&gt;"COMPOSICAO",$B95&lt;&gt;"INSUMO",$B95&lt;&gt;"")</formula>
    </cfRule>
    <cfRule type="expression" dxfId="64" priority="94" stopIfTrue="1">
      <formula>AND(OR($B95="COMPOSICAO",$B95="INSUMO",$B95&lt;&gt;""),$B95&lt;&gt;"")</formula>
    </cfRule>
  </conditionalFormatting>
  <conditionalFormatting sqref="D95">
    <cfRule type="expression" dxfId="63" priority="91" stopIfTrue="1">
      <formula>AND($B95&lt;&gt;"COMPOSICAO",$B95&lt;&gt;"INSUMO",$B95&lt;&gt;"")</formula>
    </cfRule>
    <cfRule type="expression" dxfId="62" priority="92" stopIfTrue="1">
      <formula>AND(OR($B95="COMPOSICAO",$B95="INSUMO",$B95&lt;&gt;""),$B95&lt;&gt;"")</formula>
    </cfRule>
  </conditionalFormatting>
  <conditionalFormatting sqref="B95">
    <cfRule type="expression" dxfId="61" priority="89" stopIfTrue="1">
      <formula>AND($B95&lt;&gt;"COMPOSICAO",$B95&lt;&gt;"INSUMO",$B95&lt;&gt;"")</formula>
    </cfRule>
    <cfRule type="expression" dxfId="60" priority="90" stopIfTrue="1">
      <formula>AND(OR($B95="COMPOSICAO",$B95="INSUMO",$B95&lt;&gt;""),$B95&lt;&gt;"")</formula>
    </cfRule>
  </conditionalFormatting>
  <conditionalFormatting sqref="B95">
    <cfRule type="expression" dxfId="59" priority="87" stopIfTrue="1">
      <formula>AND($B95&lt;&gt;"COMPOSICAO",$B95&lt;&gt;"INSUMO",$B95&lt;&gt;"")</formula>
    </cfRule>
    <cfRule type="expression" dxfId="58" priority="88" stopIfTrue="1">
      <formula>AND(OR($B95="COMPOSICAO",$B95="INSUMO",$B95&lt;&gt;""),$B95&lt;&gt;"")</formula>
    </cfRule>
  </conditionalFormatting>
  <conditionalFormatting sqref="F69:F76">
    <cfRule type="expression" dxfId="57" priority="85" stopIfTrue="1">
      <formula>AND($B69&lt;&gt;"COMPOSICAO",$B69&lt;&gt;"INSUMO",$B69&lt;&gt;"")</formula>
    </cfRule>
    <cfRule type="expression" dxfId="56" priority="86" stopIfTrue="1">
      <formula>AND(OR($B69="COMPOSICAO",$B69="INSUMO",$B69&lt;&gt;""),$B69&lt;&gt;"")</formula>
    </cfRule>
  </conditionalFormatting>
  <conditionalFormatting sqref="I69:I76">
    <cfRule type="expression" dxfId="55" priority="83" stopIfTrue="1">
      <formula>AND($B69&lt;&gt;"COMPOSICAO",$B69&lt;&gt;"INSUMO",$B69&lt;&gt;"")</formula>
    </cfRule>
    <cfRule type="expression" dxfId="54" priority="84" stopIfTrue="1">
      <formula>AND(OR($B69="COMPOSICAO",$B69="INSUMO",$B69&lt;&gt;""),$B69&lt;&gt;"")</formula>
    </cfRule>
  </conditionalFormatting>
  <conditionalFormatting sqref="D69:D76">
    <cfRule type="expression" dxfId="53" priority="81" stopIfTrue="1">
      <formula>AND($B69&lt;&gt;"COMPOSICAO",$B69&lt;&gt;"INSUMO",$B69&lt;&gt;"")</formula>
    </cfRule>
    <cfRule type="expression" dxfId="52" priority="82" stopIfTrue="1">
      <formula>AND(OR($B69="COMPOSICAO",$B69="INSUMO",$B69&lt;&gt;""),$B69&lt;&gt;"")</formula>
    </cfRule>
  </conditionalFormatting>
  <conditionalFormatting sqref="J69:J76">
    <cfRule type="expression" dxfId="51" priority="79" stopIfTrue="1">
      <formula>AND($B69&lt;&gt;"COMPOSICAO",$B69&lt;&gt;"INSUMO",$B69&lt;&gt;"")</formula>
    </cfRule>
    <cfRule type="expression" dxfId="50" priority="80" stopIfTrue="1">
      <formula>AND(OR($B69="COMPOSICAO",$B69="INSUMO",$B69&lt;&gt;""),$B69&lt;&gt;"")</formula>
    </cfRule>
  </conditionalFormatting>
  <conditionalFormatting sqref="I105:J106">
    <cfRule type="expression" dxfId="49" priority="77" stopIfTrue="1">
      <formula>AND($B105&lt;&gt;"COMPOSICAO",$B105&lt;&gt;"INSUMO",$B105&lt;&gt;"")</formula>
    </cfRule>
    <cfRule type="expression" dxfId="48" priority="78" stopIfTrue="1">
      <formula>AND(OR($B105="COMPOSICAO",$B105="INSUMO",$B105&lt;&gt;""),$B105&lt;&gt;"")</formula>
    </cfRule>
  </conditionalFormatting>
  <conditionalFormatting sqref="I132:J133">
    <cfRule type="expression" dxfId="47" priority="75" stopIfTrue="1">
      <formula>AND($B132&lt;&gt;"COMPOSICAO",$B132&lt;&gt;"INSUMO",$B132&lt;&gt;"")</formula>
    </cfRule>
    <cfRule type="expression" dxfId="46" priority="76" stopIfTrue="1">
      <formula>AND(OR($B132="COMPOSICAO",$B132="INSUMO",$B132&lt;&gt;""),$B132&lt;&gt;"")</formula>
    </cfRule>
  </conditionalFormatting>
  <conditionalFormatting sqref="I150:J151">
    <cfRule type="expression" dxfId="45" priority="73" stopIfTrue="1">
      <formula>AND($B150&lt;&gt;"COMPOSICAO",$B150&lt;&gt;"INSUMO",$B150&lt;&gt;"")</formula>
    </cfRule>
    <cfRule type="expression" dxfId="44" priority="74" stopIfTrue="1">
      <formula>AND(OR($B150="COMPOSICAO",$B150="INSUMO",$B150&lt;&gt;""),$B150&lt;&gt;"")</formula>
    </cfRule>
  </conditionalFormatting>
  <conditionalFormatting sqref="I160:I164">
    <cfRule type="expression" dxfId="43" priority="29" stopIfTrue="1">
      <formula>AND($B160&lt;&gt;"COMPOSICAO",$B160&lt;&gt;"INSUMO",$B160&lt;&gt;"")</formula>
    </cfRule>
    <cfRule type="expression" dxfId="42" priority="30" stopIfTrue="1">
      <formula>AND(OR($B160="COMPOSICAO",$B160="INSUMO",$B160&lt;&gt;""),$B160&lt;&gt;"")</formula>
    </cfRule>
  </conditionalFormatting>
  <conditionalFormatting sqref="I160:I164">
    <cfRule type="expression" dxfId="41" priority="31" stopIfTrue="1">
      <formula>AND($B160&lt;&gt;"COMPOSICAO",$B160&lt;&gt;"INSUMO",$B160&lt;&gt;"")</formula>
    </cfRule>
    <cfRule type="expression" dxfId="40" priority="32" stopIfTrue="1">
      <formula>AND(OR($B160="COMPOSICAO",$B160="INSUMO",$B160&lt;&gt;""),$B160&lt;&gt;"")</formula>
    </cfRule>
  </conditionalFormatting>
  <conditionalFormatting sqref="J160:J164">
    <cfRule type="expression" dxfId="39" priority="43" stopIfTrue="1">
      <formula>AND($B160&lt;&gt;"COMPOSICAO",$B160&lt;&gt;"INSUMO",$B160&lt;&gt;"")</formula>
    </cfRule>
    <cfRule type="expression" dxfId="38" priority="44" stopIfTrue="1">
      <formula>AND(OR($B160="COMPOSICAO",$B160="INSUMO",$B160&lt;&gt;""),$B160&lt;&gt;"")</formula>
    </cfRule>
  </conditionalFormatting>
  <conditionalFormatting sqref="J160:J164">
    <cfRule type="expression" dxfId="37" priority="41" stopIfTrue="1">
      <formula>AND($B160&lt;&gt;"COMPOSICAO",$B160&lt;&gt;"INSUMO",$B160&lt;&gt;"")</formula>
    </cfRule>
    <cfRule type="expression" dxfId="36" priority="42" stopIfTrue="1">
      <formula>AND(OR($B160="COMPOSICAO",$B160="INSUMO",$B160&lt;&gt;""),$B160&lt;&gt;"")</formula>
    </cfRule>
  </conditionalFormatting>
  <conditionalFormatting sqref="F160:F164">
    <cfRule type="expression" dxfId="35" priority="39" stopIfTrue="1">
      <formula>AND($B160&lt;&gt;"COMPOSICAO",$B160&lt;&gt;"INSUMO",$B160&lt;&gt;"")</formula>
    </cfRule>
    <cfRule type="expression" dxfId="34" priority="40" stopIfTrue="1">
      <formula>AND(OR($B160="COMPOSICAO",$B160="INSUMO",$B160&lt;&gt;""),$B160&lt;&gt;"")</formula>
    </cfRule>
  </conditionalFormatting>
  <conditionalFormatting sqref="F160:F164">
    <cfRule type="expression" dxfId="33" priority="37" stopIfTrue="1">
      <formula>AND($B160&lt;&gt;"COMPOSICAO",$B160&lt;&gt;"INSUMO",$B160&lt;&gt;"")</formula>
    </cfRule>
    <cfRule type="expression" dxfId="32" priority="38" stopIfTrue="1">
      <formula>AND(OR($B160="COMPOSICAO",$B160="INSUMO",$B160&lt;&gt;""),$B160&lt;&gt;"")</formula>
    </cfRule>
  </conditionalFormatting>
  <conditionalFormatting sqref="F160:F164">
    <cfRule type="expression" dxfId="31" priority="35" stopIfTrue="1">
      <formula>AND($B160&lt;&gt;"COMPOSICAO",$B160&lt;&gt;"INSUMO",$B160&lt;&gt;"")</formula>
    </cfRule>
    <cfRule type="expression" dxfId="30" priority="36" stopIfTrue="1">
      <formula>AND(OR($B160="COMPOSICAO",$B160="INSUMO",$B160&lt;&gt;""),$B160&lt;&gt;"")</formula>
    </cfRule>
  </conditionalFormatting>
  <conditionalFormatting sqref="F160:F164">
    <cfRule type="expression" dxfId="29" priority="33" stopIfTrue="1">
      <formula>AND($B160&lt;&gt;"COMPOSICAO",$B160&lt;&gt;"INSUMO",$B160&lt;&gt;"")</formula>
    </cfRule>
    <cfRule type="expression" dxfId="28" priority="34" stopIfTrue="1">
      <formula>AND(OR($B160="COMPOSICAO",$B160="INSUMO",$B160&lt;&gt;""),$B160&lt;&gt;"")</formula>
    </cfRule>
  </conditionalFormatting>
  <conditionalFormatting sqref="F169:F174">
    <cfRule type="expression" dxfId="27" priority="27" stopIfTrue="1">
      <formula>AND($B169&lt;&gt;"COMPOSICAO",$B169&lt;&gt;"INSUMO",$B169&lt;&gt;"")</formula>
    </cfRule>
    <cfRule type="expression" dxfId="26" priority="28" stopIfTrue="1">
      <formula>AND(OR($B169="COMPOSICAO",$B169="INSUMO",$B169&lt;&gt;""),$B169&lt;&gt;"")</formula>
    </cfRule>
  </conditionalFormatting>
  <conditionalFormatting sqref="F169:F174">
    <cfRule type="expression" dxfId="25" priority="25" stopIfTrue="1">
      <formula>AND($B169&lt;&gt;"COMPOSICAO",$B169&lt;&gt;"INSUMO",$B169&lt;&gt;"")</formula>
    </cfRule>
    <cfRule type="expression" dxfId="24" priority="26" stopIfTrue="1">
      <formula>AND(OR($B169="COMPOSICAO",$B169="INSUMO",$B169&lt;&gt;""),$B169&lt;&gt;"")</formula>
    </cfRule>
  </conditionalFormatting>
  <conditionalFormatting sqref="F169:F174">
    <cfRule type="expression" dxfId="23" priority="23" stopIfTrue="1">
      <formula>AND($B169&lt;&gt;"COMPOSICAO",$B169&lt;&gt;"INSUMO",$B169&lt;&gt;"")</formula>
    </cfRule>
    <cfRule type="expression" dxfId="22" priority="24" stopIfTrue="1">
      <formula>AND(OR($B169="COMPOSICAO",$B169="INSUMO",$B169&lt;&gt;""),$B169&lt;&gt;"")</formula>
    </cfRule>
  </conditionalFormatting>
  <conditionalFormatting sqref="I169:I174">
    <cfRule type="expression" dxfId="21" priority="21" stopIfTrue="1">
      <formula>AND($B169&lt;&gt;"COMPOSICAO",$B169&lt;&gt;"INSUMO",$B169&lt;&gt;"")</formula>
    </cfRule>
    <cfRule type="expression" dxfId="20" priority="22" stopIfTrue="1">
      <formula>AND(OR($B169="COMPOSICAO",$B169="INSUMO",$B169&lt;&gt;""),$B169&lt;&gt;"")</formula>
    </cfRule>
  </conditionalFormatting>
  <conditionalFormatting sqref="I169:I174">
    <cfRule type="expression" dxfId="19" priority="19" stopIfTrue="1">
      <formula>AND($B169&lt;&gt;"COMPOSICAO",$B169&lt;&gt;"INSUMO",$B169&lt;&gt;"")</formula>
    </cfRule>
    <cfRule type="expression" dxfId="18" priority="20" stopIfTrue="1">
      <formula>AND(OR($B169="COMPOSICAO",$B169="INSUMO",$B169&lt;&gt;""),$B169&lt;&gt;"")</formula>
    </cfRule>
  </conditionalFormatting>
  <conditionalFormatting sqref="I169:I174">
    <cfRule type="expression" dxfId="17" priority="17" stopIfTrue="1">
      <formula>AND($B169&lt;&gt;"COMPOSICAO",$B169&lt;&gt;"INSUMO",$B169&lt;&gt;"")</formula>
    </cfRule>
    <cfRule type="expression" dxfId="16" priority="18" stopIfTrue="1">
      <formula>AND(OR($B169="COMPOSICAO",$B169="INSUMO",$B169&lt;&gt;""),$B169&lt;&gt;"")</formula>
    </cfRule>
  </conditionalFormatting>
  <conditionalFormatting sqref="J169:J174">
    <cfRule type="expression" dxfId="15" priority="15" stopIfTrue="1">
      <formula>AND($B169&lt;&gt;"COMPOSICAO",$B169&lt;&gt;"INSUMO",$B169&lt;&gt;"")</formula>
    </cfRule>
    <cfRule type="expression" dxfId="14" priority="16" stopIfTrue="1">
      <formula>AND(OR($B169="COMPOSICAO",$B169="INSUMO",$B169&lt;&gt;""),$B169&lt;&gt;"")</formula>
    </cfRule>
  </conditionalFormatting>
  <conditionalFormatting sqref="J169:J174">
    <cfRule type="expression" dxfId="13" priority="13" stopIfTrue="1">
      <formula>AND($B169&lt;&gt;"COMPOSICAO",$B169&lt;&gt;"INSUMO",$B169&lt;&gt;"")</formula>
    </cfRule>
    <cfRule type="expression" dxfId="12" priority="14" stopIfTrue="1">
      <formula>AND(OR($B169="COMPOSICAO",$B169="INSUMO",$B169&lt;&gt;""),$B169&lt;&gt;"")</formula>
    </cfRule>
  </conditionalFormatting>
  <conditionalFormatting sqref="F189:F191">
    <cfRule type="expression" dxfId="11" priority="11" stopIfTrue="1">
      <formula>AND($B189&lt;&gt;"COMPOSICAO",$B189&lt;&gt;"INSUMO",$B189&lt;&gt;"")</formula>
    </cfRule>
    <cfRule type="expression" dxfId="10" priority="12" stopIfTrue="1">
      <formula>AND(OR($B189="COMPOSICAO",$B189="INSUMO",$B189&lt;&gt;""),$B189&lt;&gt;"")</formula>
    </cfRule>
  </conditionalFormatting>
  <conditionalFormatting sqref="I189:J191">
    <cfRule type="expression" dxfId="9" priority="9" stopIfTrue="1">
      <formula>AND($B189&lt;&gt;"COMPOSICAO",$B189&lt;&gt;"INSUMO",$B189&lt;&gt;"")</formula>
    </cfRule>
    <cfRule type="expression" dxfId="8" priority="10" stopIfTrue="1">
      <formula>AND(OR($B189="COMPOSICAO",$B189="INSUMO",$B189&lt;&gt;""),$B189&lt;&gt;"")</formula>
    </cfRule>
  </conditionalFormatting>
  <conditionalFormatting sqref="D189:D191">
    <cfRule type="expression" dxfId="7" priority="7" stopIfTrue="1">
      <formula>AND($B189&lt;&gt;"COMPOSICAO",$B189&lt;&gt;"INSUMO",$B189&lt;&gt;"")</formula>
    </cfRule>
    <cfRule type="expression" dxfId="6" priority="8" stopIfTrue="1">
      <formula>AND(OR($B189="COMPOSICAO",$B189="INSUMO",$B189&lt;&gt;""),$B189&lt;&gt;"")</formula>
    </cfRule>
  </conditionalFormatting>
  <conditionalFormatting sqref="F197:F209">
    <cfRule type="expression" dxfId="5" priority="5" stopIfTrue="1">
      <formula>AND($B197&lt;&gt;"COMPOSICAO",$B197&lt;&gt;"INSUMO",$B197&lt;&gt;"")</formula>
    </cfRule>
    <cfRule type="expression" dxfId="4" priority="6" stopIfTrue="1">
      <formula>AND(OR($B197="COMPOSICAO",$B197="INSUMO",$B197&lt;&gt;""),$B197&lt;&gt;"")</formula>
    </cfRule>
  </conditionalFormatting>
  <conditionalFormatting sqref="I197:J209">
    <cfRule type="expression" dxfId="3" priority="3" stopIfTrue="1">
      <formula>AND($B197&lt;&gt;"COMPOSICAO",$B197&lt;&gt;"INSUMO",$B197&lt;&gt;"")</formula>
    </cfRule>
    <cfRule type="expression" dxfId="2" priority="4" stopIfTrue="1">
      <formula>AND(OR($B197="COMPOSICAO",$B197="INSUMO",$B197&lt;&gt;""),$B197&lt;&gt;"")</formula>
    </cfRule>
  </conditionalFormatting>
  <conditionalFormatting sqref="D197:D209">
    <cfRule type="expression" dxfId="1" priority="1" stopIfTrue="1">
      <formula>AND($B197&lt;&gt;"COMPOSICAO",$B197&lt;&gt;"INSUMO",$B197&lt;&gt;"")</formula>
    </cfRule>
    <cfRule type="expression" dxfId="0" priority="2" stopIfTrue="1">
      <formula>AND(OR($B197="COMPOSICAO",$B197="INSUMO",$B197&lt;&gt;""),$B197&lt;&gt;"")</formula>
    </cfRule>
  </conditionalFormatting>
  <pageMargins left="0.7" right="0.7" top="0.75" bottom="0.75" header="0.3" footer="0.3"/>
  <pageSetup paperSize="9" scale="1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70"/>
  <sheetViews>
    <sheetView view="pageBreakPreview" topLeftCell="A13" zoomScale="85" zoomScaleNormal="100" zoomScaleSheetLayoutView="85" workbookViewId="0">
      <selection activeCell="G45" sqref="G45"/>
    </sheetView>
  </sheetViews>
  <sheetFormatPr defaultColWidth="11.42578125" defaultRowHeight="15" x14ac:dyDescent="0.25"/>
  <cols>
    <col min="1" max="1" width="11.42578125" style="34"/>
    <col min="2" max="2" width="19" customWidth="1"/>
    <col min="3" max="3" width="40.42578125" customWidth="1"/>
    <col min="4" max="4" width="18.7109375" customWidth="1"/>
    <col min="5" max="5" width="24.42578125" customWidth="1"/>
  </cols>
  <sheetData>
    <row r="1" spans="2:5" s="34" customFormat="1" x14ac:dyDescent="0.25"/>
    <row r="2" spans="2:5" s="34" customFormat="1" x14ac:dyDescent="0.25"/>
    <row r="3" spans="2:5" s="34" customFormat="1" x14ac:dyDescent="0.25"/>
    <row r="4" spans="2:5" s="34" customFormat="1" ht="15.75" thickBot="1" x14ac:dyDescent="0.3"/>
    <row r="5" spans="2:5" s="34" customFormat="1" ht="9" customHeight="1" x14ac:dyDescent="0.25">
      <c r="B5" s="508"/>
      <c r="C5" s="995" t="e">
        <f>#REF!</f>
        <v>#REF!</v>
      </c>
      <c r="D5" s="995"/>
      <c r="E5" s="996"/>
    </row>
    <row r="6" spans="2:5" s="34" customFormat="1" x14ac:dyDescent="0.25">
      <c r="B6" s="509"/>
      <c r="C6" s="997"/>
      <c r="D6" s="997"/>
      <c r="E6" s="998"/>
    </row>
    <row r="7" spans="2:5" s="34" customFormat="1" x14ac:dyDescent="0.25">
      <c r="B7" s="509"/>
      <c r="C7" s="999" t="e">
        <f>#REF!</f>
        <v>#REF!</v>
      </c>
      <c r="D7" s="999"/>
      <c r="E7" s="1000"/>
    </row>
    <row r="8" spans="2:5" s="34" customFormat="1" ht="9" customHeight="1" x14ac:dyDescent="0.25">
      <c r="B8" s="509"/>
      <c r="C8" s="992" t="e">
        <f>#REF!</f>
        <v>#REF!</v>
      </c>
      <c r="D8" s="992"/>
      <c r="E8" s="993"/>
    </row>
    <row r="9" spans="2:5" s="34" customFormat="1" ht="6" customHeight="1" x14ac:dyDescent="0.25">
      <c r="B9" s="509"/>
      <c r="C9" s="992"/>
      <c r="D9" s="992"/>
      <c r="E9" s="993"/>
    </row>
    <row r="10" spans="2:5" s="34" customFormat="1" ht="6.75" customHeight="1" x14ac:dyDescent="0.25">
      <c r="B10" s="510"/>
      <c r="C10" s="506"/>
      <c r="D10" s="493"/>
      <c r="E10" s="511"/>
    </row>
    <row r="11" spans="2:5" s="34" customFormat="1" ht="12" customHeight="1" x14ac:dyDescent="0.25">
      <c r="B11" s="509"/>
      <c r="C11" s="512" t="e">
        <f>#REF!</f>
        <v>#REF!</v>
      </c>
      <c r="D11" s="501" t="e">
        <f>#REF!</f>
        <v>#REF!</v>
      </c>
      <c r="E11" s="513" t="e">
        <f>#REF!</f>
        <v>#REF!</v>
      </c>
    </row>
    <row r="12" spans="2:5" s="34" customFormat="1" ht="12" customHeight="1" x14ac:dyDescent="0.25">
      <c r="B12" s="509"/>
      <c r="C12" s="502" t="e">
        <f>#REF!</f>
        <v>#REF!</v>
      </c>
      <c r="D12" s="502" t="e">
        <f>#REF!</f>
        <v>#REF!</v>
      </c>
      <c r="E12" s="514" t="e">
        <f>#REF!</f>
        <v>#REF!</v>
      </c>
    </row>
    <row r="13" spans="2:5" s="34" customFormat="1" ht="12" customHeight="1" x14ac:dyDescent="0.25">
      <c r="B13" s="509"/>
      <c r="C13" s="507" t="e">
        <f>#REF!</f>
        <v>#REF!</v>
      </c>
      <c r="D13" s="507" t="e">
        <f>#REF!</f>
        <v>#REF!</v>
      </c>
      <c r="E13" s="515" t="e">
        <f>#REF!</f>
        <v>#REF!</v>
      </c>
    </row>
    <row r="14" spans="2:5" s="34" customFormat="1" ht="7.5" customHeight="1" x14ac:dyDescent="0.25">
      <c r="B14" s="516"/>
      <c r="C14" s="494"/>
      <c r="D14" s="494"/>
      <c r="E14" s="517"/>
    </row>
    <row r="15" spans="2:5" s="34" customFormat="1" ht="12" customHeight="1" x14ac:dyDescent="0.25">
      <c r="B15" s="518"/>
      <c r="C15" s="994" t="e">
        <f>#REF!</f>
        <v>#REF!</v>
      </c>
      <c r="D15" s="994"/>
      <c r="E15" s="519" t="e">
        <f>#REF!</f>
        <v>#REF!</v>
      </c>
    </row>
    <row r="16" spans="2:5" s="34" customFormat="1" ht="12" customHeight="1" x14ac:dyDescent="0.25">
      <c r="B16" s="518"/>
      <c r="C16" s="994" t="e">
        <f>#REF!</f>
        <v>#REF!</v>
      </c>
      <c r="D16" s="994"/>
      <c r="E16" s="519" t="e">
        <f>#REF!</f>
        <v>#REF!</v>
      </c>
    </row>
    <row r="17" spans="2:5" s="34" customFormat="1" ht="12" customHeight="1" x14ac:dyDescent="0.25">
      <c r="B17" s="518"/>
      <c r="C17" s="994" t="e">
        <f>#REF!</f>
        <v>#REF!</v>
      </c>
      <c r="D17" s="994"/>
      <c r="E17" s="519" t="e">
        <f>#REF!</f>
        <v>#REF!</v>
      </c>
    </row>
    <row r="18" spans="2:5" s="34" customFormat="1" ht="4.5" customHeight="1" x14ac:dyDescent="0.25">
      <c r="B18" s="520"/>
      <c r="C18" s="495"/>
      <c r="D18" s="495"/>
      <c r="E18" s="521"/>
    </row>
    <row r="19" spans="2:5" s="34" customFormat="1" ht="6.75" customHeight="1" x14ac:dyDescent="0.25">
      <c r="B19" s="522"/>
      <c r="C19" s="496"/>
      <c r="D19" s="496"/>
      <c r="E19" s="523"/>
    </row>
    <row r="20" spans="2:5" s="34" customFormat="1" x14ac:dyDescent="0.25">
      <c r="B20" s="970" t="e">
        <f>#REF!</f>
        <v>#REF!</v>
      </c>
      <c r="C20" s="971"/>
      <c r="D20" s="971"/>
      <c r="E20" s="972"/>
    </row>
    <row r="21" spans="2:5" s="34" customFormat="1" x14ac:dyDescent="0.25">
      <c r="B21" s="979" t="e">
        <f>#REF!</f>
        <v>#REF!</v>
      </c>
      <c r="C21" s="980"/>
      <c r="D21" s="980"/>
      <c r="E21" s="981"/>
    </row>
    <row r="22" spans="2:5" s="34" customFormat="1" x14ac:dyDescent="0.25">
      <c r="B22" s="979" t="e">
        <f>#REF!</f>
        <v>#REF!</v>
      </c>
      <c r="C22" s="980"/>
      <c r="D22" s="980"/>
      <c r="E22" s="981"/>
    </row>
    <row r="23" spans="2:5" s="34" customFormat="1" x14ac:dyDescent="0.25">
      <c r="B23" s="970" t="e">
        <f>#REF!</f>
        <v>#REF!</v>
      </c>
      <c r="C23" s="971"/>
      <c r="D23" s="971"/>
      <c r="E23" s="972"/>
    </row>
    <row r="24" spans="2:5" s="34" customFormat="1" ht="5.25" customHeight="1" x14ac:dyDescent="0.25">
      <c r="B24" s="973"/>
      <c r="C24" s="974"/>
      <c r="D24" s="974"/>
      <c r="E24" s="975"/>
    </row>
    <row r="25" spans="2:5" s="34" customFormat="1" ht="21" thickBot="1" x14ac:dyDescent="0.3">
      <c r="B25" s="976" t="s">
        <v>793</v>
      </c>
      <c r="C25" s="977"/>
      <c r="D25" s="977"/>
      <c r="E25" s="978"/>
    </row>
    <row r="26" spans="2:5" x14ac:dyDescent="0.25">
      <c r="B26" s="985" t="s">
        <v>52</v>
      </c>
      <c r="C26" s="986"/>
      <c r="D26" s="986"/>
      <c r="E26" s="987"/>
    </row>
    <row r="27" spans="2:5" x14ac:dyDescent="0.25">
      <c r="B27" s="284" t="s">
        <v>31</v>
      </c>
      <c r="C27" s="988" t="s">
        <v>53</v>
      </c>
      <c r="D27" s="989"/>
      <c r="E27" s="285">
        <f>SUM(E28:E31)</f>
        <v>6.2700000000000006E-2</v>
      </c>
    </row>
    <row r="28" spans="2:5" ht="16.5" x14ac:dyDescent="0.3">
      <c r="B28" s="286" t="s">
        <v>5</v>
      </c>
      <c r="C28" s="14" t="s">
        <v>54</v>
      </c>
      <c r="D28" s="15"/>
      <c r="E28" s="287">
        <v>0.04</v>
      </c>
    </row>
    <row r="29" spans="2:5" ht="16.5" x14ac:dyDescent="0.3">
      <c r="B29" s="286" t="s">
        <v>7</v>
      </c>
      <c r="C29" s="14" t="s">
        <v>55</v>
      </c>
      <c r="D29" s="15"/>
      <c r="E29" s="287">
        <v>5.0000000000000001E-3</v>
      </c>
    </row>
    <row r="30" spans="2:5" ht="16.5" x14ac:dyDescent="0.3">
      <c r="B30" s="286" t="s">
        <v>8</v>
      </c>
      <c r="C30" s="14" t="s">
        <v>56</v>
      </c>
      <c r="D30" s="15"/>
      <c r="E30" s="287">
        <v>1.2699999999999999E-2</v>
      </c>
    </row>
    <row r="31" spans="2:5" ht="16.5" x14ac:dyDescent="0.3">
      <c r="B31" s="286" t="s">
        <v>16</v>
      </c>
      <c r="C31" s="14" t="s">
        <v>57</v>
      </c>
      <c r="D31" s="15"/>
      <c r="E31" s="287">
        <v>5.0000000000000001E-3</v>
      </c>
    </row>
    <row r="32" spans="2:5" ht="16.5" x14ac:dyDescent="0.3">
      <c r="B32" s="286"/>
      <c r="C32" s="14"/>
      <c r="D32" s="15"/>
      <c r="E32" s="287"/>
    </row>
    <row r="33" spans="2:7" x14ac:dyDescent="0.25">
      <c r="B33" s="288">
        <v>2</v>
      </c>
      <c r="C33" s="16" t="s">
        <v>58</v>
      </c>
      <c r="D33" s="17"/>
      <c r="E33" s="289">
        <v>1.23E-2</v>
      </c>
    </row>
    <row r="34" spans="2:7" ht="16.5" x14ac:dyDescent="0.3">
      <c r="B34" s="290"/>
      <c r="C34" s="18"/>
      <c r="D34" s="18"/>
      <c r="E34" s="291"/>
    </row>
    <row r="35" spans="2:7" x14ac:dyDescent="0.25">
      <c r="B35" s="284" t="s">
        <v>33</v>
      </c>
      <c r="C35" s="988" t="s">
        <v>59</v>
      </c>
      <c r="D35" s="989"/>
      <c r="E35" s="285">
        <f>E36</f>
        <v>4.9000000000000002E-2</v>
      </c>
    </row>
    <row r="36" spans="2:7" ht="16.5" x14ac:dyDescent="0.3">
      <c r="B36" s="286" t="s">
        <v>19</v>
      </c>
      <c r="C36" s="14" t="s">
        <v>60</v>
      </c>
      <c r="D36" s="19"/>
      <c r="E36" s="292">
        <v>4.9000000000000002E-2</v>
      </c>
    </row>
    <row r="37" spans="2:7" ht="16.5" x14ac:dyDescent="0.3">
      <c r="B37" s="290"/>
      <c r="C37" s="18"/>
      <c r="D37" s="18"/>
      <c r="E37" s="291"/>
    </row>
    <row r="38" spans="2:7" x14ac:dyDescent="0.25">
      <c r="B38" s="284">
        <v>4</v>
      </c>
      <c r="C38" s="988" t="s">
        <v>61</v>
      </c>
      <c r="D38" s="989"/>
      <c r="E38" s="293">
        <f>SUM(E39:E42)</f>
        <v>0.10149999999999999</v>
      </c>
    </row>
    <row r="39" spans="2:7" ht="16.5" x14ac:dyDescent="0.3">
      <c r="B39" s="286" t="s">
        <v>14</v>
      </c>
      <c r="C39" s="15" t="s">
        <v>62</v>
      </c>
      <c r="D39" s="15"/>
      <c r="E39" s="292">
        <v>6.4999999999999997E-3</v>
      </c>
    </row>
    <row r="40" spans="2:7" ht="16.5" x14ac:dyDescent="0.3">
      <c r="B40" s="286" t="s">
        <v>15</v>
      </c>
      <c r="C40" s="15" t="s">
        <v>63</v>
      </c>
      <c r="D40" s="15"/>
      <c r="E40" s="287">
        <v>0.03</v>
      </c>
    </row>
    <row r="41" spans="2:7" ht="16.5" x14ac:dyDescent="0.3">
      <c r="B41" s="286" t="s">
        <v>34</v>
      </c>
      <c r="C41" s="15" t="s">
        <v>64</v>
      </c>
      <c r="D41" s="15"/>
      <c r="E41" s="287">
        <v>0.02</v>
      </c>
    </row>
    <row r="42" spans="2:7" ht="16.5" x14ac:dyDescent="0.3">
      <c r="B42" s="286" t="s">
        <v>35</v>
      </c>
      <c r="C42" s="15" t="s">
        <v>65</v>
      </c>
      <c r="D42" s="15"/>
      <c r="E42" s="287">
        <v>4.4999999999999998E-2</v>
      </c>
    </row>
    <row r="43" spans="2:7" ht="17.25" thickBot="1" x14ac:dyDescent="0.35">
      <c r="B43" s="290"/>
      <c r="C43" s="18"/>
      <c r="D43" s="18"/>
      <c r="E43" s="294"/>
    </row>
    <row r="44" spans="2:7" ht="15.75" thickBot="1" x14ac:dyDescent="0.3">
      <c r="B44" s="282">
        <v>5</v>
      </c>
      <c r="C44" s="990" t="s">
        <v>66</v>
      </c>
      <c r="D44" s="991"/>
      <c r="E44" s="283">
        <f>(((1+E27)*(1+E33)*(1+E35))/(1-E38))-1</f>
        <v>0.25596438429604884</v>
      </c>
      <c r="G44" s="218">
        <f>(((1+E27)*(1+E33)*(1+E35))/(1-E38))-1</f>
        <v>0.25596438429604884</v>
      </c>
    </row>
    <row r="45" spans="2:7" ht="16.5" x14ac:dyDescent="0.3">
      <c r="B45" s="295"/>
      <c r="C45" s="18"/>
      <c r="D45" s="18"/>
      <c r="E45" s="294"/>
      <c r="G45" s="218">
        <f>(((1+E27)*(1+E33)*(1+E35))/(1-E38+E42))-1</f>
        <v>0.19606147248542638</v>
      </c>
    </row>
    <row r="46" spans="2:7" ht="16.5" x14ac:dyDescent="0.25">
      <c r="B46" s="982" t="s">
        <v>67</v>
      </c>
      <c r="C46" s="983"/>
      <c r="D46" s="983"/>
      <c r="E46" s="984"/>
    </row>
    <row r="47" spans="2:7" ht="16.5" x14ac:dyDescent="0.3">
      <c r="B47" s="295"/>
      <c r="C47" s="18"/>
      <c r="D47" s="18"/>
      <c r="E47" s="294"/>
    </row>
    <row r="48" spans="2:7" ht="16.5" x14ac:dyDescent="0.3">
      <c r="B48" s="295"/>
      <c r="C48" s="20"/>
      <c r="D48" s="18"/>
      <c r="E48" s="294"/>
    </row>
    <row r="49" spans="2:5" ht="16.5" x14ac:dyDescent="0.3">
      <c r="B49" s="295"/>
      <c r="C49" s="18"/>
      <c r="D49" s="18"/>
      <c r="E49" s="296" t="s">
        <v>68</v>
      </c>
    </row>
    <row r="50" spans="2:5" ht="16.5" x14ac:dyDescent="0.3">
      <c r="B50" s="297" t="s">
        <v>69</v>
      </c>
      <c r="C50" s="21"/>
      <c r="D50" s="22"/>
      <c r="E50" s="298">
        <v>5.5E-2</v>
      </c>
    </row>
    <row r="51" spans="2:5" ht="16.5" x14ac:dyDescent="0.3">
      <c r="B51" s="299" t="s">
        <v>70</v>
      </c>
      <c r="C51" s="21"/>
      <c r="D51" s="22"/>
      <c r="E51" s="298">
        <v>5.0000000000000001E-3</v>
      </c>
    </row>
    <row r="52" spans="2:5" ht="16.5" x14ac:dyDescent="0.3">
      <c r="B52" s="299" t="s">
        <v>71</v>
      </c>
      <c r="C52" s="21"/>
      <c r="D52" s="22"/>
      <c r="E52" s="298">
        <v>1.2699999999999999E-2</v>
      </c>
    </row>
    <row r="53" spans="2:5" ht="16.5" x14ac:dyDescent="0.3">
      <c r="B53" s="299" t="s">
        <v>72</v>
      </c>
      <c r="C53" s="21"/>
      <c r="D53" s="22"/>
      <c r="E53" s="298">
        <v>5.0000000000000001E-3</v>
      </c>
    </row>
    <row r="54" spans="2:5" ht="16.5" x14ac:dyDescent="0.3">
      <c r="B54" s="299" t="s">
        <v>73</v>
      </c>
      <c r="C54" s="21"/>
      <c r="D54" s="22"/>
      <c r="E54" s="298">
        <v>1.3899999999999999E-2</v>
      </c>
    </row>
    <row r="55" spans="2:5" ht="16.5" x14ac:dyDescent="0.3">
      <c r="B55" s="299" t="s">
        <v>74</v>
      </c>
      <c r="C55" s="23"/>
      <c r="D55" s="24"/>
      <c r="E55" s="300">
        <v>8.9599999999999999E-2</v>
      </c>
    </row>
    <row r="56" spans="2:5" ht="15.75" x14ac:dyDescent="0.3">
      <c r="B56" s="301" t="s">
        <v>75</v>
      </c>
      <c r="C56" s="25"/>
      <c r="D56" s="26"/>
      <c r="E56" s="302" t="s">
        <v>76</v>
      </c>
    </row>
    <row r="57" spans="2:5" ht="16.5" x14ac:dyDescent="0.3">
      <c r="B57" s="303"/>
      <c r="C57" s="27" t="s">
        <v>77</v>
      </c>
      <c r="D57" s="20"/>
      <c r="E57" s="304">
        <v>0.24229999999999999</v>
      </c>
    </row>
    <row r="58" spans="2:5" ht="16.5" x14ac:dyDescent="0.3">
      <c r="B58" s="303"/>
      <c r="C58" s="27" t="s">
        <v>78</v>
      </c>
      <c r="D58" s="20"/>
      <c r="E58" s="304">
        <v>0.25</v>
      </c>
    </row>
    <row r="59" spans="2:5" ht="16.5" x14ac:dyDescent="0.3">
      <c r="B59" s="303"/>
      <c r="C59" s="27" t="s">
        <v>79</v>
      </c>
      <c r="D59" s="20"/>
      <c r="E59" s="304">
        <v>0.26440000000000002</v>
      </c>
    </row>
    <row r="60" spans="2:5" ht="15.75" thickBot="1" x14ac:dyDescent="0.3">
      <c r="B60" s="305"/>
      <c r="C60" s="306"/>
      <c r="D60" s="306"/>
      <c r="E60" s="307"/>
    </row>
    <row r="61" spans="2:5" x14ac:dyDescent="0.25">
      <c r="B61" s="28"/>
      <c r="C61" s="28"/>
      <c r="D61" s="28"/>
      <c r="E61" s="28"/>
    </row>
    <row r="62" spans="2:5" x14ac:dyDescent="0.25">
      <c r="B62" s="28"/>
      <c r="C62" s="28"/>
      <c r="D62" s="28"/>
      <c r="E62" s="28"/>
    </row>
    <row r="63" spans="2:5" x14ac:dyDescent="0.25">
      <c r="B63" s="28"/>
      <c r="C63" s="28"/>
      <c r="D63" s="28"/>
      <c r="E63" s="28"/>
    </row>
    <row r="64" spans="2:5" x14ac:dyDescent="0.25">
      <c r="B64" s="28"/>
      <c r="C64" s="182"/>
      <c r="D64" s="182"/>
      <c r="E64" s="29"/>
    </row>
    <row r="65" spans="2:5" x14ac:dyDescent="0.25">
      <c r="B65" s="28"/>
      <c r="C65" s="182"/>
      <c r="D65" s="182"/>
      <c r="E65" s="28" t="s">
        <v>162</v>
      </c>
    </row>
    <row r="66" spans="2:5" x14ac:dyDescent="0.25">
      <c r="B66" s="28"/>
      <c r="C66" s="28"/>
      <c r="D66" s="28"/>
      <c r="E66" s="28"/>
    </row>
    <row r="67" spans="2:5" x14ac:dyDescent="0.25">
      <c r="B67" s="28"/>
      <c r="C67" s="28"/>
      <c r="D67" s="28"/>
      <c r="E67" s="28"/>
    </row>
    <row r="68" spans="2:5" x14ac:dyDescent="0.25">
      <c r="B68" s="28"/>
      <c r="C68" s="28"/>
      <c r="D68" s="28"/>
      <c r="E68" s="28"/>
    </row>
    <row r="69" spans="2:5" x14ac:dyDescent="0.25">
      <c r="B69" s="28"/>
      <c r="C69" s="28"/>
      <c r="D69" s="28"/>
      <c r="E69" s="28"/>
    </row>
    <row r="70" spans="2:5" x14ac:dyDescent="0.25">
      <c r="B70" s="28"/>
      <c r="C70" s="28"/>
      <c r="D70" s="28"/>
      <c r="E70" s="28"/>
    </row>
  </sheetData>
  <mergeCells count="18">
    <mergeCell ref="C8:E9"/>
    <mergeCell ref="C15:D15"/>
    <mergeCell ref="C16:D16"/>
    <mergeCell ref="C17:D17"/>
    <mergeCell ref="C5:E6"/>
    <mergeCell ref="C7:E7"/>
    <mergeCell ref="B46:E46"/>
    <mergeCell ref="B26:E26"/>
    <mergeCell ref="C27:D27"/>
    <mergeCell ref="C35:D35"/>
    <mergeCell ref="C38:D38"/>
    <mergeCell ref="C44:D44"/>
    <mergeCell ref="B23:E23"/>
    <mergeCell ref="B24:E24"/>
    <mergeCell ref="B25:E25"/>
    <mergeCell ref="B20:E20"/>
    <mergeCell ref="B21:E21"/>
    <mergeCell ref="B22:E22"/>
  </mergeCells>
  <pageMargins left="0.7" right="0.7" top="0.75" bottom="0.75" header="0.3" footer="0.3"/>
  <pageSetup paperSize="9" scale="8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4"/>
  <sheetViews>
    <sheetView view="pageBreakPreview" topLeftCell="A46" zoomScaleNormal="100" zoomScaleSheetLayoutView="100" workbookViewId="0">
      <selection activeCell="D55" sqref="D55"/>
    </sheetView>
  </sheetViews>
  <sheetFormatPr defaultColWidth="11.42578125" defaultRowHeight="15" x14ac:dyDescent="0.25"/>
  <cols>
    <col min="1" max="1" width="11.42578125" style="34"/>
    <col min="2" max="2" width="21.140625" customWidth="1"/>
    <col min="3" max="3" width="51.42578125" customWidth="1"/>
    <col min="4" max="4" width="16.42578125" customWidth="1"/>
    <col min="5" max="5" width="15.140625" customWidth="1"/>
  </cols>
  <sheetData>
    <row r="1" spans="2:5" s="34" customFormat="1" x14ac:dyDescent="0.25"/>
    <row r="2" spans="2:5" s="34" customFormat="1" x14ac:dyDescent="0.25"/>
    <row r="3" spans="2:5" s="34" customFormat="1" x14ac:dyDescent="0.25"/>
    <row r="4" spans="2:5" s="34" customFormat="1" x14ac:dyDescent="0.25"/>
    <row r="5" spans="2:5" s="34" customFormat="1" ht="15.75" thickBot="1" x14ac:dyDescent="0.3"/>
    <row r="6" spans="2:5" s="34" customFormat="1" ht="9.9499999999999993" customHeight="1" x14ac:dyDescent="0.25">
      <c r="B6" s="1362"/>
      <c r="C6" s="1363" t="str">
        <f>'PLANILHA ORÇAMENTÁRIA'!D6</f>
        <v>MINISTÉRIO DO DESENVOLVIMENTO REGIONAL (MDR) / CAIXA</v>
      </c>
      <c r="D6" s="1363"/>
      <c r="E6" s="1364"/>
    </row>
    <row r="7" spans="2:5" s="34" customFormat="1" ht="9.9499999999999993" customHeight="1" x14ac:dyDescent="0.25">
      <c r="B7" s="1365"/>
      <c r="C7" s="1366"/>
      <c r="D7" s="1366"/>
      <c r="E7" s="1367"/>
    </row>
    <row r="8" spans="2:5" s="34" customFormat="1" ht="9.9499999999999993" customHeight="1" x14ac:dyDescent="0.25">
      <c r="B8" s="1365"/>
      <c r="C8" s="1368" t="str">
        <f>'PLANILHA ORÇAMENTÁRIA'!D8</f>
        <v>PROPOSTA SICONV Nº 908618/2020</v>
      </c>
      <c r="D8" s="1368"/>
      <c r="E8" s="1369"/>
    </row>
    <row r="9" spans="2:5" s="34" customFormat="1" ht="9.9499999999999993" customHeight="1" x14ac:dyDescent="0.25">
      <c r="B9" s="1365"/>
      <c r="C9" s="1370" t="str">
        <f>'PLANILHA ORÇAMENTÁRIA'!D9</f>
        <v>CONVÊNIO Nº 908618/2020</v>
      </c>
      <c r="D9" s="1370"/>
      <c r="E9" s="1371"/>
    </row>
    <row r="10" spans="2:5" s="34" customFormat="1" ht="9.9499999999999993" customHeight="1" x14ac:dyDescent="0.25">
      <c r="B10" s="1365"/>
      <c r="C10" s="1370"/>
      <c r="D10" s="1370"/>
      <c r="E10" s="1371"/>
    </row>
    <row r="11" spans="2:5" s="34" customFormat="1" ht="9.9499999999999993" customHeight="1" x14ac:dyDescent="0.25">
      <c r="B11" s="1372"/>
      <c r="C11" s="1373"/>
      <c r="D11" s="1374"/>
      <c r="E11" s="1375"/>
    </row>
    <row r="12" spans="2:5" s="34" customFormat="1" ht="9.9499999999999993" customHeight="1" x14ac:dyDescent="0.25">
      <c r="B12" s="1376"/>
      <c r="C12" s="1377"/>
      <c r="D12" s="1377"/>
      <c r="E12" s="1378"/>
    </row>
    <row r="13" spans="2:5" s="34" customFormat="1" ht="9.9499999999999993" customHeight="1" x14ac:dyDescent="0.25">
      <c r="B13" s="1379"/>
      <c r="C13" s="1380"/>
      <c r="D13" s="1380"/>
      <c r="E13" s="1381"/>
    </row>
    <row r="14" spans="2:5" s="34" customFormat="1" x14ac:dyDescent="0.25">
      <c r="B14" s="1382"/>
      <c r="C14" s="1383"/>
      <c r="D14" s="1383"/>
      <c r="E14" s="1384"/>
    </row>
    <row r="15" spans="2:5" s="34" customFormat="1" ht="12.95" customHeight="1" x14ac:dyDescent="0.25">
      <c r="B15" s="1385" t="str">
        <f>'PLANILHA ORÇAMENTÁRIA'!B21:L21</f>
        <v xml:space="preserve">objeto/obra = RECUPERAÇÃO DE ESTRADAS VICINAIS </v>
      </c>
      <c r="C15" s="1386"/>
      <c r="D15" s="1386"/>
      <c r="E15" s="1387"/>
    </row>
    <row r="16" spans="2:5" s="34" customFormat="1" ht="12.95" customHeight="1" x14ac:dyDescent="0.25">
      <c r="B16" s="1388" t="str">
        <f>'PLANILHA ORÇAMENTÁRIA'!B22:L22</f>
        <v>local/implantação = NO MUNICÍPIO DE SANTO ANTÔNIO DOS LOPES  - MA</v>
      </c>
      <c r="C16" s="1389"/>
      <c r="D16" s="1389"/>
      <c r="E16" s="1390"/>
    </row>
    <row r="17" spans="2:5" s="34" customFormat="1" ht="12.95" customHeight="1" x14ac:dyDescent="0.25">
      <c r="B17" s="1388" t="str">
        <f>'PLANILHA ORÇAMENTÁRIA'!B23:L23</f>
        <v>proponente/proprietário = Prefeitura Municipal de Santo Antônio dos Lopes - Ma</v>
      </c>
      <c r="C17" s="1389"/>
      <c r="D17" s="1389"/>
      <c r="E17" s="1390"/>
    </row>
    <row r="18" spans="2:5" s="34" customFormat="1" ht="12.95" customHeight="1" x14ac:dyDescent="0.25">
      <c r="B18" s="1385" t="str">
        <f>'PLANILHA ORÇAMENTÁRIA'!B24:L24</f>
        <v xml:space="preserve">data / referência = SINAPI - DESON-AGOSTO -2021, SICRO ABRIL DE 2021 </v>
      </c>
      <c r="C18" s="1386"/>
      <c r="D18" s="1386"/>
      <c r="E18" s="1387"/>
    </row>
    <row r="19" spans="2:5" s="34" customFormat="1" ht="12.95" customHeight="1" thickBot="1" x14ac:dyDescent="0.3">
      <c r="B19" s="1391"/>
      <c r="C19" s="1392"/>
      <c r="D19" s="1392"/>
      <c r="E19" s="1393"/>
    </row>
    <row r="20" spans="2:5" x14ac:dyDescent="0.25">
      <c r="B20" s="1394" t="s">
        <v>80</v>
      </c>
      <c r="C20" s="1395"/>
      <c r="D20" s="1395"/>
      <c r="E20" s="1396"/>
    </row>
    <row r="21" spans="2:5" ht="15.75" thickBot="1" x14ac:dyDescent="0.3">
      <c r="B21" s="1397" t="s">
        <v>905</v>
      </c>
      <c r="C21" s="1398"/>
      <c r="D21" s="1398"/>
      <c r="E21" s="1399"/>
    </row>
    <row r="22" spans="2:5" ht="15.75" thickBot="1" x14ac:dyDescent="0.3">
      <c r="B22" s="1400" t="s">
        <v>81</v>
      </c>
      <c r="C22" s="1401" t="s">
        <v>1</v>
      </c>
      <c r="D22" s="1401" t="s">
        <v>82</v>
      </c>
      <c r="E22" s="1402" t="s">
        <v>83</v>
      </c>
    </row>
    <row r="23" spans="2:5" x14ac:dyDescent="0.25">
      <c r="B23" s="1403" t="s">
        <v>84</v>
      </c>
      <c r="C23" s="1404"/>
      <c r="D23" s="1404"/>
      <c r="E23" s="1405"/>
    </row>
    <row r="24" spans="2:5" x14ac:dyDescent="0.25">
      <c r="B24" s="1406" t="s">
        <v>85</v>
      </c>
      <c r="C24" s="1407" t="s">
        <v>86</v>
      </c>
      <c r="D24" s="1417">
        <v>0</v>
      </c>
      <c r="E24" s="1418">
        <v>0</v>
      </c>
    </row>
    <row r="25" spans="2:5" x14ac:dyDescent="0.25">
      <c r="B25" s="1406" t="s">
        <v>88</v>
      </c>
      <c r="C25" s="1407" t="s">
        <v>89</v>
      </c>
      <c r="D25" s="1419">
        <v>1.5</v>
      </c>
      <c r="E25" s="1420">
        <v>1.5</v>
      </c>
    </row>
    <row r="26" spans="2:5" x14ac:dyDescent="0.25">
      <c r="B26" s="1406" t="s">
        <v>90</v>
      </c>
      <c r="C26" s="1407" t="s">
        <v>91</v>
      </c>
      <c r="D26" s="1419">
        <v>1</v>
      </c>
      <c r="E26" s="1420">
        <v>1</v>
      </c>
    </row>
    <row r="27" spans="2:5" x14ac:dyDescent="0.25">
      <c r="B27" s="1406" t="s">
        <v>92</v>
      </c>
      <c r="C27" s="1407" t="s">
        <v>93</v>
      </c>
      <c r="D27" s="1419">
        <v>0.2</v>
      </c>
      <c r="E27" s="1420">
        <v>0.2</v>
      </c>
    </row>
    <row r="28" spans="2:5" x14ac:dyDescent="0.25">
      <c r="B28" s="1406" t="s">
        <v>94</v>
      </c>
      <c r="C28" s="1407" t="s">
        <v>95</v>
      </c>
      <c r="D28" s="1419">
        <v>0.6</v>
      </c>
      <c r="E28" s="1420">
        <v>0.6</v>
      </c>
    </row>
    <row r="29" spans="2:5" x14ac:dyDescent="0.25">
      <c r="B29" s="1406" t="s">
        <v>96</v>
      </c>
      <c r="C29" s="1407" t="s">
        <v>97</v>
      </c>
      <c r="D29" s="1419">
        <v>2.5</v>
      </c>
      <c r="E29" s="1420">
        <v>2.5</v>
      </c>
    </row>
    <row r="30" spans="2:5" x14ac:dyDescent="0.25">
      <c r="B30" s="1406" t="s">
        <v>98</v>
      </c>
      <c r="C30" s="1408" t="s">
        <v>99</v>
      </c>
      <c r="D30" s="1419">
        <v>3</v>
      </c>
      <c r="E30" s="1420">
        <v>3</v>
      </c>
    </row>
    <row r="31" spans="2:5" x14ac:dyDescent="0.25">
      <c r="B31" s="1406" t="s">
        <v>100</v>
      </c>
      <c r="C31" s="1407" t="s">
        <v>101</v>
      </c>
      <c r="D31" s="1419">
        <v>8</v>
      </c>
      <c r="E31" s="1420">
        <v>8</v>
      </c>
    </row>
    <row r="32" spans="2:5" s="34" customFormat="1" x14ac:dyDescent="0.25">
      <c r="B32" s="1409" t="s">
        <v>196</v>
      </c>
      <c r="C32" s="1410" t="s">
        <v>197</v>
      </c>
      <c r="D32" s="1421">
        <v>1</v>
      </c>
      <c r="E32" s="1422">
        <v>1</v>
      </c>
    </row>
    <row r="33" spans="2:5" ht="15.75" thickBot="1" x14ac:dyDescent="0.3">
      <c r="B33" s="1411" t="s">
        <v>103</v>
      </c>
      <c r="C33" s="1412" t="s">
        <v>104</v>
      </c>
      <c r="D33" s="1423">
        <f>SUM(D24:D32)</f>
        <v>17.8</v>
      </c>
      <c r="E33" s="1424">
        <f>SUM(E24:E32)</f>
        <v>17.8</v>
      </c>
    </row>
    <row r="34" spans="2:5" ht="21.75" customHeight="1" x14ac:dyDescent="0.25">
      <c r="B34" s="1403" t="s">
        <v>105</v>
      </c>
      <c r="C34" s="1404"/>
      <c r="D34" s="1404"/>
      <c r="E34" s="1405"/>
    </row>
    <row r="35" spans="2:5" x14ac:dyDescent="0.25">
      <c r="B35" s="1406" t="s">
        <v>106</v>
      </c>
      <c r="C35" s="1408" t="s">
        <v>107</v>
      </c>
      <c r="D35" s="1425">
        <v>17.87</v>
      </c>
      <c r="E35" s="1426" t="s">
        <v>87</v>
      </c>
    </row>
    <row r="36" spans="2:5" x14ac:dyDescent="0.25">
      <c r="B36" s="1406" t="s">
        <v>108</v>
      </c>
      <c r="C36" s="1407" t="s">
        <v>109</v>
      </c>
      <c r="D36" s="1425">
        <v>3.95</v>
      </c>
      <c r="E36" s="1426" t="s">
        <v>87</v>
      </c>
    </row>
    <row r="37" spans="2:5" x14ac:dyDescent="0.25">
      <c r="B37" s="1406" t="s">
        <v>110</v>
      </c>
      <c r="C37" s="1408" t="s">
        <v>111</v>
      </c>
      <c r="D37" s="1425">
        <v>0.86</v>
      </c>
      <c r="E37" s="1427">
        <v>0.67</v>
      </c>
    </row>
    <row r="38" spans="2:5" x14ac:dyDescent="0.25">
      <c r="B38" s="1406" t="s">
        <v>112</v>
      </c>
      <c r="C38" s="1407" t="s">
        <v>113</v>
      </c>
      <c r="D38" s="1425">
        <v>10.7</v>
      </c>
      <c r="E38" s="1426">
        <v>8.33</v>
      </c>
    </row>
    <row r="39" spans="2:5" x14ac:dyDescent="0.25">
      <c r="B39" s="1406" t="s">
        <v>114</v>
      </c>
      <c r="C39" s="1408" t="s">
        <v>115</v>
      </c>
      <c r="D39" s="1425">
        <v>7.0000000000000007E-2</v>
      </c>
      <c r="E39" s="1426">
        <v>0.06</v>
      </c>
    </row>
    <row r="40" spans="2:5" x14ac:dyDescent="0.25">
      <c r="B40" s="1406" t="s">
        <v>116</v>
      </c>
      <c r="C40" s="1407" t="s">
        <v>117</v>
      </c>
      <c r="D40" s="1425">
        <v>0.71</v>
      </c>
      <c r="E40" s="1426">
        <v>0.56000000000000005</v>
      </c>
    </row>
    <row r="41" spans="2:5" x14ac:dyDescent="0.25">
      <c r="B41" s="1406" t="s">
        <v>118</v>
      </c>
      <c r="C41" s="1408" t="s">
        <v>119</v>
      </c>
      <c r="D41" s="1425">
        <v>1.46</v>
      </c>
      <c r="E41" s="1426" t="s">
        <v>87</v>
      </c>
    </row>
    <row r="42" spans="2:5" x14ac:dyDescent="0.25">
      <c r="B42" s="1406" t="s">
        <v>120</v>
      </c>
      <c r="C42" s="1407" t="s">
        <v>121</v>
      </c>
      <c r="D42" s="1425">
        <v>0.11</v>
      </c>
      <c r="E42" s="1426">
        <v>0.08</v>
      </c>
    </row>
    <row r="43" spans="2:5" x14ac:dyDescent="0.25">
      <c r="B43" s="1406" t="s">
        <v>122</v>
      </c>
      <c r="C43" s="1413" t="s">
        <v>123</v>
      </c>
      <c r="D43" s="1425">
        <v>14.04</v>
      </c>
      <c r="E43" s="1426">
        <v>10.93</v>
      </c>
    </row>
    <row r="44" spans="2:5" x14ac:dyDescent="0.25">
      <c r="B44" s="1406" t="s">
        <v>124</v>
      </c>
      <c r="C44" s="1407" t="s">
        <v>125</v>
      </c>
      <c r="D44" s="1425">
        <v>0.03</v>
      </c>
      <c r="E44" s="1426">
        <v>0.03</v>
      </c>
    </row>
    <row r="45" spans="2:5" ht="26.25" thickBot="1" x14ac:dyDescent="0.3">
      <c r="B45" s="1411" t="s">
        <v>126</v>
      </c>
      <c r="C45" s="1414" t="s">
        <v>127</v>
      </c>
      <c r="D45" s="1423">
        <f>SUM(D35:D44)</f>
        <v>49.8</v>
      </c>
      <c r="E45" s="1424">
        <f>SUM(E35:E44)</f>
        <v>20.660000000000004</v>
      </c>
    </row>
    <row r="46" spans="2:5" ht="22.5" customHeight="1" x14ac:dyDescent="0.25">
      <c r="B46" s="1403" t="s">
        <v>128</v>
      </c>
      <c r="C46" s="1404"/>
      <c r="D46" s="1404"/>
      <c r="E46" s="1405"/>
    </row>
    <row r="47" spans="2:5" x14ac:dyDescent="0.25">
      <c r="B47" s="1406" t="s">
        <v>129</v>
      </c>
      <c r="C47" s="1407" t="s">
        <v>130</v>
      </c>
      <c r="D47" s="1428">
        <v>4.4400000000000004</v>
      </c>
      <c r="E47" s="1427">
        <v>3.46</v>
      </c>
    </row>
    <row r="48" spans="2:5" x14ac:dyDescent="0.25">
      <c r="B48" s="1406" t="s">
        <v>131</v>
      </c>
      <c r="C48" s="1408" t="s">
        <v>132</v>
      </c>
      <c r="D48" s="1428">
        <v>0.1</v>
      </c>
      <c r="E48" s="1427">
        <v>0.08</v>
      </c>
    </row>
    <row r="49" spans="2:5" x14ac:dyDescent="0.25">
      <c r="B49" s="1406" t="s">
        <v>133</v>
      </c>
      <c r="C49" s="1407" t="s">
        <v>134</v>
      </c>
      <c r="D49" s="1428">
        <v>0</v>
      </c>
      <c r="E49" s="1427">
        <v>0</v>
      </c>
    </row>
    <row r="50" spans="2:5" x14ac:dyDescent="0.25">
      <c r="B50" s="1406" t="s">
        <v>135</v>
      </c>
      <c r="C50" s="1407" t="s">
        <v>136</v>
      </c>
      <c r="D50" s="1428">
        <v>3.94</v>
      </c>
      <c r="E50" s="1427">
        <v>3.07</v>
      </c>
    </row>
    <row r="51" spans="2:5" x14ac:dyDescent="0.25">
      <c r="B51" s="1406" t="s">
        <v>137</v>
      </c>
      <c r="C51" s="1407" t="s">
        <v>138</v>
      </c>
      <c r="D51" s="1428">
        <v>0.37</v>
      </c>
      <c r="E51" s="1427">
        <v>0.28999999999999998</v>
      </c>
    </row>
    <row r="52" spans="2:5" ht="24" customHeight="1" thickBot="1" x14ac:dyDescent="0.3">
      <c r="B52" s="1411" t="s">
        <v>51</v>
      </c>
      <c r="C52" s="1414" t="s">
        <v>139</v>
      </c>
      <c r="D52" s="1423">
        <f>SUM(D47:D51)</f>
        <v>8.85</v>
      </c>
      <c r="E52" s="1424">
        <f>SUM(E47:E51)</f>
        <v>6.8999999999999995</v>
      </c>
    </row>
    <row r="53" spans="2:5" ht="27" customHeight="1" x14ac:dyDescent="0.25">
      <c r="B53" s="1403" t="s">
        <v>140</v>
      </c>
      <c r="C53" s="1404"/>
      <c r="D53" s="1404"/>
      <c r="E53" s="1405"/>
    </row>
    <row r="54" spans="2:5" x14ac:dyDescent="0.25">
      <c r="B54" s="1406" t="s">
        <v>141</v>
      </c>
      <c r="C54" s="1407" t="s">
        <v>142</v>
      </c>
      <c r="D54" s="1425">
        <v>8.86</v>
      </c>
      <c r="E54" s="1426">
        <v>3.68</v>
      </c>
    </row>
    <row r="55" spans="2:5" ht="38.25" x14ac:dyDescent="0.25">
      <c r="B55" s="1406" t="s">
        <v>143</v>
      </c>
      <c r="C55" s="1407" t="s">
        <v>144</v>
      </c>
      <c r="D55" s="1425">
        <v>0.37</v>
      </c>
      <c r="E55" s="1426">
        <v>0.28999999999999998</v>
      </c>
    </row>
    <row r="56" spans="2:5" ht="15.75" thickBot="1" x14ac:dyDescent="0.3">
      <c r="B56" s="1411" t="s">
        <v>145</v>
      </c>
      <c r="C56" s="1414" t="s">
        <v>146</v>
      </c>
      <c r="D56" s="1429">
        <f>SUM(D54:D55)</f>
        <v>9.2299999999999986</v>
      </c>
      <c r="E56" s="1424">
        <f>SUM(E54:E55)</f>
        <v>3.97</v>
      </c>
    </row>
    <row r="57" spans="2:5" ht="23.25" customHeight="1" thickBot="1" x14ac:dyDescent="0.3">
      <c r="B57" s="1415" t="s">
        <v>147</v>
      </c>
      <c r="C57" s="1416"/>
      <c r="D57" s="1430">
        <f>SUM(D33,D45,D52,D56)</f>
        <v>85.679999999999993</v>
      </c>
      <c r="E57" s="1431">
        <f>SUM(E33,E45,E52,E56)</f>
        <v>49.330000000000005</v>
      </c>
    </row>
    <row r="58" spans="2:5" x14ac:dyDescent="0.25">
      <c r="B58" s="30"/>
      <c r="C58" s="30"/>
      <c r="D58" s="30"/>
      <c r="E58" s="30"/>
    </row>
    <row r="59" spans="2:5" x14ac:dyDescent="0.25">
      <c r="B59" s="30"/>
      <c r="C59" s="30"/>
      <c r="D59" s="30"/>
      <c r="E59" s="30"/>
    </row>
    <row r="60" spans="2:5" x14ac:dyDescent="0.25">
      <c r="B60" s="30"/>
      <c r="C60" s="182"/>
      <c r="D60" s="182"/>
      <c r="E60" s="30"/>
    </row>
    <row r="61" spans="2:5" x14ac:dyDescent="0.25">
      <c r="B61" s="30"/>
      <c r="C61" s="182"/>
      <c r="D61" s="182"/>
      <c r="E61" s="30"/>
    </row>
    <row r="62" spans="2:5" x14ac:dyDescent="0.25">
      <c r="B62" s="30"/>
      <c r="C62" s="30"/>
      <c r="D62" s="30"/>
      <c r="E62" s="30"/>
    </row>
    <row r="63" spans="2:5" x14ac:dyDescent="0.25">
      <c r="B63" s="30"/>
      <c r="C63" s="30"/>
      <c r="D63" s="30"/>
      <c r="E63" s="30"/>
    </row>
    <row r="64" spans="2:5" x14ac:dyDescent="0.25">
      <c r="B64" s="30"/>
      <c r="C64" s="30"/>
      <c r="D64" s="30"/>
      <c r="E64" s="30"/>
    </row>
  </sheetData>
  <sheetProtection algorithmName="SHA-512" hashValue="PSKAsp56uRsxWKXf/CRjZWvAxwmdAAjBTNKg9qfpWd5QHve71UeutLyI8QPq23ny71OF6wK2xZnyHPCPccQO8g==" saltValue="uqztx6S49UdF+3QN0rSBLA==" spinCount="100000" sheet="1" objects="1" scenarios="1"/>
  <mergeCells count="15">
    <mergeCell ref="B53:E53"/>
    <mergeCell ref="B57:C57"/>
    <mergeCell ref="B20:E20"/>
    <mergeCell ref="B21:E21"/>
    <mergeCell ref="B23:E23"/>
    <mergeCell ref="B34:E34"/>
    <mergeCell ref="B46:E46"/>
    <mergeCell ref="C6:E7"/>
    <mergeCell ref="C8:E8"/>
    <mergeCell ref="C9:E10"/>
    <mergeCell ref="B19:E19"/>
    <mergeCell ref="B15:E15"/>
    <mergeCell ref="B16:E16"/>
    <mergeCell ref="B17:E17"/>
    <mergeCell ref="B18:E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horizontalDpi="360" verticalDpi="360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QUADRO DE RESUMO</vt:lpstr>
      <vt:lpstr>PLANILHA ORÇAMENTÁRIA</vt:lpstr>
      <vt:lpstr>COMP.CUST</vt:lpstr>
      <vt:lpstr>MEM. DE CALCULO</vt:lpstr>
      <vt:lpstr>CRON. FIS. FINAN.</vt:lpstr>
      <vt:lpstr>Planilha1</vt:lpstr>
      <vt:lpstr>COMP. CUSTOS</vt:lpstr>
      <vt:lpstr>BDI</vt:lpstr>
      <vt:lpstr>ENCARGOS</vt:lpstr>
      <vt:lpstr>Hoja1</vt:lpstr>
      <vt:lpstr>CURVA ABC</vt:lpstr>
      <vt:lpstr>BDI!Print_Area</vt:lpstr>
      <vt:lpstr>COMP.CUST!Print_Area</vt:lpstr>
      <vt:lpstr>'CRON. FIS. FINAN.'!Print_Area</vt:lpstr>
      <vt:lpstr>'CURVA ABC'!Print_Area</vt:lpstr>
      <vt:lpstr>ENCARGOS!Print_Area</vt:lpstr>
      <vt:lpstr>'MEM. DE CALCULO'!Print_Area</vt:lpstr>
      <vt:lpstr>'PLANILHA ORÇAMENTÁRIA'!Print_Area</vt:lpstr>
      <vt:lpstr>Planilha1!Print_Area</vt:lpstr>
      <vt:lpstr>'QUADRO DE RESUMO'!Print_Area</vt:lpstr>
      <vt:lpstr>COMP.CUST!Print_Titles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constantePc</dc:creator>
  <cp:lastModifiedBy>ADM</cp:lastModifiedBy>
  <cp:lastPrinted>2022-02-14T13:22:48Z</cp:lastPrinted>
  <dcterms:created xsi:type="dcterms:W3CDTF">2017-07-05T17:46:05Z</dcterms:created>
  <dcterms:modified xsi:type="dcterms:W3CDTF">2022-05-05T18:59:24Z</dcterms:modified>
</cp:coreProperties>
</file>